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charts/chart44.xml" ContentType="application/vnd.openxmlformats-officedocument.drawingml.chart+xml"/>
  <Override PartName="/xl/charts/style24.xml" ContentType="application/vnd.ms-office.chartstyle+xml"/>
  <Override PartName="/xl/charts/colors24.xml" ContentType="application/vnd.ms-office.chartcolorstyle+xml"/>
  <Override PartName="/xl/charts/chart4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style27.xml" ContentType="application/vnd.ms-office.chartstyle+xml"/>
  <Override PartName="/xl/charts/colors27.xml" ContentType="application/vnd.ms-office.chartcolorstyle+xml"/>
  <Override PartName="/xl/charts/chart50.xml" ContentType="application/vnd.openxmlformats-officedocument.drawingml.chart+xml"/>
  <Override PartName="/xl/charts/style28.xml" ContentType="application/vnd.ms-office.chartstyle+xml"/>
  <Override PartName="/xl/charts/colors28.xml" ContentType="application/vnd.ms-office.chartcolorstyle+xml"/>
  <Override PartName="/xl/charts/chart51.xml" ContentType="application/vnd.openxmlformats-officedocument.drawingml.chart+xml"/>
  <Override PartName="/xl/charts/chart52.xml" ContentType="application/vnd.openxmlformats-officedocument.drawingml.chart+xml"/>
  <Override PartName="/xl/charts/style29.xml" ContentType="application/vnd.ms-office.chartstyle+xml"/>
  <Override PartName="/xl/charts/colors29.xml" ContentType="application/vnd.ms-office.chartcolorstyle+xml"/>
  <Override PartName="/xl/charts/chart53.xml" ContentType="application/vnd.openxmlformats-officedocument.drawingml.chart+xml"/>
  <Override PartName="/xl/charts/chart54.xml" ContentType="application/vnd.openxmlformats-officedocument.drawingml.chart+xml"/>
  <Override PartName="/xl/charts/style30.xml" ContentType="application/vnd.ms-office.chartstyle+xml"/>
  <Override PartName="/xl/charts/colors30.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style31.xml" ContentType="application/vnd.ms-office.chartstyle+xml"/>
  <Override PartName="/xl/charts/colors31.xml" ContentType="application/vnd.ms-office.chartcolorstyle+xml"/>
  <Override PartName="/xl/charts/chart57.xml" ContentType="application/vnd.openxmlformats-officedocument.drawingml.chart+xml"/>
  <Override PartName="/xl/charts/chart58.xml" ContentType="application/vnd.openxmlformats-officedocument.drawingml.chart+xml"/>
  <Override PartName="/xl/charts/style32.xml" ContentType="application/vnd.ms-office.chartstyle+xml"/>
  <Override PartName="/xl/charts/colors32.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33.xml" ContentType="application/vnd.ms-office.chartstyle+xml"/>
  <Override PartName="/xl/charts/colors33.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charts/style34.xml" ContentType="application/vnd.ms-office.chartstyle+xml"/>
  <Override PartName="/xl/charts/colors34.xml" ContentType="application/vnd.ms-office.chartcolorstyle+xml"/>
  <Override PartName="/xl/charts/chart63.xml" ContentType="application/vnd.openxmlformats-officedocument.drawingml.chart+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charts/chart65.xml" ContentType="application/vnd.openxmlformats-officedocument.drawingml.chart+xml"/>
  <Override PartName="/xl/charts/style36.xml" ContentType="application/vnd.ms-office.chartstyle+xml"/>
  <Override PartName="/xl/charts/colors36.xml" ContentType="application/vnd.ms-office.chartcolorstyle+xml"/>
  <Override PartName="/xl/charts/chart6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xml" ContentType="application/vnd.openxmlformats-officedocument.drawing+xml"/>
  <Override PartName="/xl/charts/chart67.xml" ContentType="application/vnd.openxmlformats-officedocument.drawingml.chart+xml"/>
  <Override PartName="/xl/charts/style38.xml" ContentType="application/vnd.ms-office.chartstyle+xml"/>
  <Override PartName="/xl/charts/colors38.xml" ContentType="application/vnd.ms-office.chartcolorstyle+xml"/>
  <Override PartName="/xl/charts/chart68.xml" ContentType="application/vnd.openxmlformats-officedocument.drawingml.chart+xml"/>
  <Override PartName="/xl/charts/style39.xml" ContentType="application/vnd.ms-office.chartstyle+xml"/>
  <Override PartName="/xl/charts/colors39.xml" ContentType="application/vnd.ms-office.chartcolorstyle+xml"/>
  <Override PartName="/xl/charts/chart69.xml" ContentType="application/vnd.openxmlformats-officedocument.drawingml.chart+xml"/>
  <Override PartName="/xl/charts/style40.xml" ContentType="application/vnd.ms-office.chartstyle+xml"/>
  <Override PartName="/xl/charts/colors40.xml" ContentType="application/vnd.ms-office.chartcolorstyle+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charts/chart71.xml" ContentType="application/vnd.openxmlformats-officedocument.drawingml.chart+xml"/>
  <Override PartName="/xl/charts/style42.xml" ContentType="application/vnd.ms-office.chartstyle+xml"/>
  <Override PartName="/xl/charts/colors42.xml" ContentType="application/vnd.ms-office.chartcolorstyle+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charts/chart73.xml" ContentType="application/vnd.openxmlformats-officedocument.drawingml.chart+xml"/>
  <Override PartName="/xl/charts/style44.xml" ContentType="application/vnd.ms-office.chartstyle+xml"/>
  <Override PartName="/xl/charts/colors44.xml" ContentType="application/vnd.ms-office.chartcolorstyle+xml"/>
  <Override PartName="/xl/charts/chart74.xml" ContentType="application/vnd.openxmlformats-officedocument.drawingml.chart+xml"/>
  <Override PartName="/xl/charts/style45.xml" ContentType="application/vnd.ms-office.chartstyle+xml"/>
  <Override PartName="/xl/charts/colors45.xml" ContentType="application/vnd.ms-office.chartcolorstyle+xml"/>
  <Override PartName="/xl/charts/chart75.xml" ContentType="application/vnd.openxmlformats-officedocument.drawingml.chart+xml"/>
  <Override PartName="/xl/charts/style46.xml" ContentType="application/vnd.ms-office.chartstyle+xml"/>
  <Override PartName="/xl/charts/colors46.xml" ContentType="application/vnd.ms-office.chartcolorstyle+xml"/>
  <Override PartName="/xl/charts/chart76.xml" ContentType="application/vnd.openxmlformats-officedocument.drawingml.chart+xml"/>
  <Override PartName="/xl/charts/style47.xml" ContentType="application/vnd.ms-office.chartstyle+xml"/>
  <Override PartName="/xl/charts/colors47.xml" ContentType="application/vnd.ms-office.chartcolorstyle+xml"/>
  <Override PartName="/xl/charts/chart77.xml" ContentType="application/vnd.openxmlformats-officedocument.drawingml.chart+xml"/>
  <Override PartName="/xl/charts/style48.xml" ContentType="application/vnd.ms-office.chartstyle+xml"/>
  <Override PartName="/xl/charts/colors48.xml" ContentType="application/vnd.ms-office.chartcolorstyle+xml"/>
  <Override PartName="/xl/charts/chart78.xml" ContentType="application/vnd.openxmlformats-officedocument.drawingml.chart+xml"/>
  <Override PartName="/xl/charts/style49.xml" ContentType="application/vnd.ms-office.chartstyle+xml"/>
  <Override PartName="/xl/charts/colors49.xml" ContentType="application/vnd.ms-office.chartcolorstyle+xml"/>
  <Override PartName="/xl/charts/chart79.xml" ContentType="application/vnd.openxmlformats-officedocument.drawingml.chart+xml"/>
  <Override PartName="/xl/charts/style50.xml" ContentType="application/vnd.ms-office.chartstyle+xml"/>
  <Override PartName="/xl/charts/colors50.xml" ContentType="application/vnd.ms-office.chartcolorstyle+xml"/>
  <Override PartName="/xl/charts/chart80.xml" ContentType="application/vnd.openxmlformats-officedocument.drawingml.chart+xml"/>
  <Override PartName="/xl/charts/style51.xml" ContentType="application/vnd.ms-office.chartstyle+xml"/>
  <Override PartName="/xl/charts/colors51.xml" ContentType="application/vnd.ms-office.chartcolorstyle+xml"/>
  <Override PartName="/xl/charts/chart81.xml" ContentType="application/vnd.openxmlformats-officedocument.drawingml.chart+xml"/>
  <Override PartName="/xl/charts/style52.xml" ContentType="application/vnd.ms-office.chartstyle+xml"/>
  <Override PartName="/xl/charts/colors52.xml" ContentType="application/vnd.ms-office.chartcolorstyle+xml"/>
  <Override PartName="/xl/charts/chart82.xml" ContentType="application/vnd.openxmlformats-officedocument.drawingml.chart+xml"/>
  <Override PartName="/xl/charts/style53.xml" ContentType="application/vnd.ms-office.chartstyle+xml"/>
  <Override PartName="/xl/charts/colors53.xml" ContentType="application/vnd.ms-office.chartcolorstyle+xml"/>
  <Override PartName="/xl/charts/chart83.xml" ContentType="application/vnd.openxmlformats-officedocument.drawingml.chart+xml"/>
  <Override PartName="/xl/charts/style54.xml" ContentType="application/vnd.ms-office.chartstyle+xml"/>
  <Override PartName="/xl/charts/colors54.xml" ContentType="application/vnd.ms-office.chartcolorstyle+xml"/>
  <Override PartName="/xl/charts/chart84.xml" ContentType="application/vnd.openxmlformats-officedocument.drawingml.chart+xml"/>
  <Override PartName="/xl/charts/style55.xml" ContentType="application/vnd.ms-office.chartstyle+xml"/>
  <Override PartName="/xl/charts/colors55.xml" ContentType="application/vnd.ms-office.chartcolorstyle+xml"/>
  <Override PartName="/xl/charts/chart85.xml" ContentType="application/vnd.openxmlformats-officedocument.drawingml.chart+xml"/>
  <Override PartName="/xl/charts/style56.xml" ContentType="application/vnd.ms-office.chartstyle+xml"/>
  <Override PartName="/xl/charts/colors56.xml" ContentType="application/vnd.ms-office.chartcolorstyle+xml"/>
  <Override PartName="/xl/charts/chart86.xml" ContentType="application/vnd.openxmlformats-officedocument.drawingml.chart+xml"/>
  <Override PartName="/xl/charts/style57.xml" ContentType="application/vnd.ms-office.chartstyle+xml"/>
  <Override PartName="/xl/charts/colors57.xml" ContentType="application/vnd.ms-office.chartcolorstyle+xml"/>
  <Override PartName="/xl/charts/chart87.xml" ContentType="application/vnd.openxmlformats-officedocument.drawingml.chart+xml"/>
  <Override PartName="/xl/charts/style58.xml" ContentType="application/vnd.ms-office.chartstyle+xml"/>
  <Override PartName="/xl/charts/colors58.xml" ContentType="application/vnd.ms-office.chartcolorstyle+xml"/>
  <Override PartName="/xl/charts/chart88.xml" ContentType="application/vnd.openxmlformats-officedocument.drawingml.chart+xml"/>
  <Override PartName="/xl/charts/style59.xml" ContentType="application/vnd.ms-office.chartstyle+xml"/>
  <Override PartName="/xl/charts/colors59.xml" ContentType="application/vnd.ms-office.chartcolorstyle+xml"/>
  <Override PartName="/xl/charts/chart89.xml" ContentType="application/vnd.openxmlformats-officedocument.drawingml.chart+xml"/>
  <Override PartName="/xl/charts/style60.xml" ContentType="application/vnd.ms-office.chartstyle+xml"/>
  <Override PartName="/xl/charts/colors60.xml" ContentType="application/vnd.ms-office.chartcolorstyle+xml"/>
  <Override PartName="/xl/charts/chart90.xml" ContentType="application/vnd.openxmlformats-officedocument.drawingml.chart+xml"/>
  <Override PartName="/xl/charts/style61.xml" ContentType="application/vnd.ms-office.chartstyle+xml"/>
  <Override PartName="/xl/charts/colors61.xml" ContentType="application/vnd.ms-office.chartcolorstyle+xml"/>
  <Override PartName="/xl/charts/chart91.xml" ContentType="application/vnd.openxmlformats-officedocument.drawingml.chart+xml"/>
  <Override PartName="/xl/charts/style62.xml" ContentType="application/vnd.ms-office.chartstyle+xml"/>
  <Override PartName="/xl/charts/colors62.xml" ContentType="application/vnd.ms-office.chartcolorstyle+xml"/>
  <Override PartName="/xl/charts/chart92.xml" ContentType="application/vnd.openxmlformats-officedocument.drawingml.chart+xml"/>
  <Override PartName="/xl/charts/style63.xml" ContentType="application/vnd.ms-office.chartstyle+xml"/>
  <Override PartName="/xl/charts/colors63.xml" ContentType="application/vnd.ms-office.chartcolorstyle+xml"/>
  <Override PartName="/xl/charts/chart93.xml" ContentType="application/vnd.openxmlformats-officedocument.drawingml.chart+xml"/>
  <Override PartName="/xl/charts/style64.xml" ContentType="application/vnd.ms-office.chartstyle+xml"/>
  <Override PartName="/xl/charts/colors64.xml" ContentType="application/vnd.ms-office.chartcolorstyle+xml"/>
  <Override PartName="/xl/charts/chart94.xml" ContentType="application/vnd.openxmlformats-officedocument.drawingml.chart+xml"/>
  <Override PartName="/xl/charts/style65.xml" ContentType="application/vnd.ms-office.chartstyle+xml"/>
  <Override PartName="/xl/charts/colors65.xml" ContentType="application/vnd.ms-office.chartcolorstyle+xml"/>
  <Override PartName="/xl/charts/chart95.xml" ContentType="application/vnd.openxmlformats-officedocument.drawingml.chart+xml"/>
  <Override PartName="/xl/charts/style66.xml" ContentType="application/vnd.ms-office.chartstyle+xml"/>
  <Override PartName="/xl/charts/colors66.xml" ContentType="application/vnd.ms-office.chartcolorstyle+xml"/>
  <Override PartName="/xl/charts/chart96.xml" ContentType="application/vnd.openxmlformats-officedocument.drawingml.chart+xml"/>
  <Override PartName="/xl/charts/style67.xml" ContentType="application/vnd.ms-office.chartstyle+xml"/>
  <Override PartName="/xl/charts/colors67.xml" ContentType="application/vnd.ms-office.chartcolorstyle+xml"/>
  <Override PartName="/xl/charts/chart97.xml" ContentType="application/vnd.openxmlformats-officedocument.drawingml.chart+xml"/>
  <Override PartName="/xl/charts/style68.xml" ContentType="application/vnd.ms-office.chartstyle+xml"/>
  <Override PartName="/xl/charts/colors68.xml" ContentType="application/vnd.ms-office.chartcolorstyle+xml"/>
  <Override PartName="/xl/charts/chart98.xml" ContentType="application/vnd.openxmlformats-officedocument.drawingml.chart+xml"/>
  <Override PartName="/xl/charts/style69.xml" ContentType="application/vnd.ms-office.chartstyle+xml"/>
  <Override PartName="/xl/charts/colors69.xml" ContentType="application/vnd.ms-office.chartcolorstyle+xml"/>
  <Override PartName="/xl/charts/chart99.xml" ContentType="application/vnd.openxmlformats-officedocument.drawingml.chart+xml"/>
  <Override PartName="/xl/charts/style70.xml" ContentType="application/vnd.ms-office.chartstyle+xml"/>
  <Override PartName="/xl/charts/colors70.xml" ContentType="application/vnd.ms-office.chartcolorstyle+xml"/>
  <Override PartName="/xl/charts/chart100.xml" ContentType="application/vnd.openxmlformats-officedocument.drawingml.chart+xml"/>
  <Override PartName="/xl/charts/style71.xml" ContentType="application/vnd.ms-office.chartstyle+xml"/>
  <Override PartName="/xl/charts/colors71.xml" ContentType="application/vnd.ms-office.chartcolorstyle+xml"/>
  <Override PartName="/xl/charts/chart101.xml" ContentType="application/vnd.openxmlformats-officedocument.drawingml.chart+xml"/>
  <Override PartName="/xl/charts/style72.xml" ContentType="application/vnd.ms-office.chartstyle+xml"/>
  <Override PartName="/xl/charts/colors72.xml" ContentType="application/vnd.ms-office.chartcolorstyle+xml"/>
  <Override PartName="/xl/charts/chart102.xml" ContentType="application/vnd.openxmlformats-officedocument.drawingml.chart+xml"/>
  <Override PartName="/xl/charts/style73.xml" ContentType="application/vnd.ms-office.chartstyle+xml"/>
  <Override PartName="/xl/charts/colors73.xml" ContentType="application/vnd.ms-office.chartcolorstyle+xml"/>
  <Override PartName="/xl/charts/chart103.xml" ContentType="application/vnd.openxmlformats-officedocument.drawingml.chart+xml"/>
  <Override PartName="/xl/charts/style74.xml" ContentType="application/vnd.ms-office.chartstyle+xml"/>
  <Override PartName="/xl/charts/colors74.xml" ContentType="application/vnd.ms-office.chartcolorstyle+xml"/>
  <Override PartName="/xl/charts/chart104.xml" ContentType="application/vnd.openxmlformats-officedocument.drawingml.chart+xml"/>
  <Override PartName="/xl/charts/style75.xml" ContentType="application/vnd.ms-office.chartstyle+xml"/>
  <Override PartName="/xl/charts/colors75.xml" ContentType="application/vnd.ms-office.chartcolorstyle+xml"/>
  <Override PartName="/xl/charts/chart105.xml" ContentType="application/vnd.openxmlformats-officedocument.drawingml.chart+xml"/>
  <Override PartName="/xl/charts/style76.xml" ContentType="application/vnd.ms-office.chartstyle+xml"/>
  <Override PartName="/xl/charts/colors76.xml" ContentType="application/vnd.ms-office.chartcolorstyle+xml"/>
  <Override PartName="/xl/charts/chart106.xml" ContentType="application/vnd.openxmlformats-officedocument.drawingml.chart+xml"/>
  <Override PartName="/xl/charts/style77.xml" ContentType="application/vnd.ms-office.chartstyle+xml"/>
  <Override PartName="/xl/charts/colors77.xml" ContentType="application/vnd.ms-office.chartcolorstyle+xml"/>
  <Override PartName="/xl/charts/chart107.xml" ContentType="application/vnd.openxmlformats-officedocument.drawingml.chart+xml"/>
  <Override PartName="/xl/charts/style78.xml" ContentType="application/vnd.ms-office.chartstyle+xml"/>
  <Override PartName="/xl/charts/colors78.xml" ContentType="application/vnd.ms-office.chartcolorstyle+xml"/>
  <Override PartName="/xl/charts/chart108.xml" ContentType="application/vnd.openxmlformats-officedocument.drawingml.chart+xml"/>
  <Override PartName="/xl/charts/style79.xml" ContentType="application/vnd.ms-office.chartstyle+xml"/>
  <Override PartName="/xl/charts/colors79.xml" ContentType="application/vnd.ms-office.chartcolorstyle+xml"/>
  <Override PartName="/xl/charts/chart109.xml" ContentType="application/vnd.openxmlformats-officedocument.drawingml.chart+xml"/>
  <Override PartName="/xl/charts/style80.xml" ContentType="application/vnd.ms-office.chartstyle+xml"/>
  <Override PartName="/xl/charts/colors80.xml" ContentType="application/vnd.ms-office.chartcolorstyle+xml"/>
  <Override PartName="/xl/charts/chart110.xml" ContentType="application/vnd.openxmlformats-officedocument.drawingml.chart+xml"/>
  <Override PartName="/xl/charts/style81.xml" ContentType="application/vnd.ms-office.chartstyle+xml"/>
  <Override PartName="/xl/charts/colors81.xml" ContentType="application/vnd.ms-office.chartcolorstyle+xml"/>
  <Override PartName="/xl/charts/chart111.xml" ContentType="application/vnd.openxmlformats-officedocument.drawingml.chart+xml"/>
  <Override PartName="/xl/charts/style82.xml" ContentType="application/vnd.ms-office.chartstyle+xml"/>
  <Override PartName="/xl/charts/colors82.xml" ContentType="application/vnd.ms-office.chartcolorstyle+xml"/>
  <Override PartName="/xl/charts/chart112.xml" ContentType="application/vnd.openxmlformats-officedocument.drawingml.chart+xml"/>
  <Override PartName="/xl/charts/style83.xml" ContentType="application/vnd.ms-office.chartstyle+xml"/>
  <Override PartName="/xl/charts/colors83.xml" ContentType="application/vnd.ms-office.chartcolorstyle+xml"/>
  <Override PartName="/xl/charts/chart113.xml" ContentType="application/vnd.openxmlformats-officedocument.drawingml.chart+xml"/>
  <Override PartName="/xl/charts/style84.xml" ContentType="application/vnd.ms-office.chartstyle+xml"/>
  <Override PartName="/xl/charts/colors84.xml" ContentType="application/vnd.ms-office.chartcolorstyle+xml"/>
  <Override PartName="/xl/charts/chart114.xml" ContentType="application/vnd.openxmlformats-officedocument.drawingml.chart+xml"/>
  <Override PartName="/xl/charts/style85.xml" ContentType="application/vnd.ms-office.chartstyle+xml"/>
  <Override PartName="/xl/charts/colors85.xml" ContentType="application/vnd.ms-office.chartcolorstyle+xml"/>
  <Override PartName="/xl/charts/chart115.xml" ContentType="application/vnd.openxmlformats-officedocument.drawingml.chart+xml"/>
  <Override PartName="/xl/charts/style86.xml" ContentType="application/vnd.ms-office.chartstyle+xml"/>
  <Override PartName="/xl/charts/colors86.xml" ContentType="application/vnd.ms-office.chartcolorstyle+xml"/>
  <Override PartName="/xl/charts/chart116.xml" ContentType="application/vnd.openxmlformats-officedocument.drawingml.chart+xml"/>
  <Override PartName="/xl/charts/style87.xml" ContentType="application/vnd.ms-office.chartstyle+xml"/>
  <Override PartName="/xl/charts/colors87.xml" ContentType="application/vnd.ms-office.chartcolorstyle+xml"/>
  <Override PartName="/xl/charts/chart117.xml" ContentType="application/vnd.openxmlformats-officedocument.drawingml.chart+xml"/>
  <Override PartName="/xl/charts/style88.xml" ContentType="application/vnd.ms-office.chartstyle+xml"/>
  <Override PartName="/xl/charts/colors88.xml" ContentType="application/vnd.ms-office.chartcolorstyle+xml"/>
  <Override PartName="/xl/charts/chart118.xml" ContentType="application/vnd.openxmlformats-officedocument.drawingml.chart+xml"/>
  <Override PartName="/xl/charts/style89.xml" ContentType="application/vnd.ms-office.chartstyle+xml"/>
  <Override PartName="/xl/charts/colors89.xml" ContentType="application/vnd.ms-office.chartcolorstyle+xml"/>
  <Override PartName="/xl/charts/chart119.xml" ContentType="application/vnd.openxmlformats-officedocument.drawingml.chart+xml"/>
  <Override PartName="/xl/charts/style90.xml" ContentType="application/vnd.ms-office.chartstyle+xml"/>
  <Override PartName="/xl/charts/colors90.xml" ContentType="application/vnd.ms-office.chartcolorstyle+xml"/>
  <Override PartName="/xl/charts/chart120.xml" ContentType="application/vnd.openxmlformats-officedocument.drawingml.chart+xml"/>
  <Override PartName="/xl/charts/style91.xml" ContentType="application/vnd.ms-office.chartstyle+xml"/>
  <Override PartName="/xl/charts/colors91.xml" ContentType="application/vnd.ms-office.chartcolorstyle+xml"/>
  <Override PartName="/xl/charts/chart121.xml" ContentType="application/vnd.openxmlformats-officedocument.drawingml.chart+xml"/>
  <Override PartName="/xl/charts/style92.xml" ContentType="application/vnd.ms-office.chartstyle+xml"/>
  <Override PartName="/xl/charts/colors92.xml" ContentType="application/vnd.ms-office.chartcolorstyle+xml"/>
  <Override PartName="/xl/charts/chart122.xml" ContentType="application/vnd.openxmlformats-officedocument.drawingml.chart+xml"/>
  <Override PartName="/xl/charts/style93.xml" ContentType="application/vnd.ms-office.chartstyle+xml"/>
  <Override PartName="/xl/charts/colors93.xml" ContentType="application/vnd.ms-office.chartcolorstyle+xml"/>
  <Override PartName="/xl/charts/chart123.xml" ContentType="application/vnd.openxmlformats-officedocument.drawingml.chart+xml"/>
  <Override PartName="/xl/charts/style94.xml" ContentType="application/vnd.ms-office.chartstyle+xml"/>
  <Override PartName="/xl/charts/colors94.xml" ContentType="application/vnd.ms-office.chartcolorstyle+xml"/>
  <Override PartName="/xl/charts/chart124.xml" ContentType="application/vnd.openxmlformats-officedocument.drawingml.chart+xml"/>
  <Override PartName="/xl/charts/style95.xml" ContentType="application/vnd.ms-office.chartstyle+xml"/>
  <Override PartName="/xl/charts/colors95.xml" ContentType="application/vnd.ms-office.chartcolorstyle+xml"/>
  <Override PartName="/xl/charts/chart125.xml" ContentType="application/vnd.openxmlformats-officedocument.drawingml.chart+xml"/>
  <Override PartName="/xl/charts/style96.xml" ContentType="application/vnd.ms-office.chartstyle+xml"/>
  <Override PartName="/xl/charts/colors96.xml" ContentType="application/vnd.ms-office.chartcolorstyle+xml"/>
  <Override PartName="/xl/charts/chart126.xml" ContentType="application/vnd.openxmlformats-officedocument.drawingml.chart+xml"/>
  <Override PartName="/xl/charts/style97.xml" ContentType="application/vnd.ms-office.chartstyle+xml"/>
  <Override PartName="/xl/charts/colors97.xml" ContentType="application/vnd.ms-office.chartcolorstyle+xml"/>
  <Override PartName="/xl/charts/chart127.xml" ContentType="application/vnd.openxmlformats-officedocument.drawingml.chart+xml"/>
  <Override PartName="/xl/charts/style98.xml" ContentType="application/vnd.ms-office.chartstyle+xml"/>
  <Override PartName="/xl/charts/colors98.xml" ContentType="application/vnd.ms-office.chartcolorstyle+xml"/>
  <Override PartName="/xl/charts/chart128.xml" ContentType="application/vnd.openxmlformats-officedocument.drawingml.chart+xml"/>
  <Override PartName="/xl/charts/style99.xml" ContentType="application/vnd.ms-office.chartstyle+xml"/>
  <Override PartName="/xl/charts/colors99.xml" ContentType="application/vnd.ms-office.chartcolorstyle+xml"/>
  <Override PartName="/xl/charts/chart129.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30.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31.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32.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33.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34.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35.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36.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37.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38.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39.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40.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41.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42.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43.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44.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45.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46.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47.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48.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49.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50.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51.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52.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53.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54.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55.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56.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57.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58.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59.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60.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61.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62.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63.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64.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65.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66.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67.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68.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69.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70.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71.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72.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73.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74.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75.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76.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77.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78.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79.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80.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81.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82.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83.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84.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85.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86.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87.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88.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89.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90.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91.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92.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93.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94.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95.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96.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97.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98.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99.xml" ContentType="application/vnd.openxmlformats-officedocument.drawingml.chart+xml"/>
  <Override PartName="/xl/charts/style170.xml" ContentType="application/vnd.ms-office.chartstyle+xml"/>
  <Override PartName="/xl/charts/colors170.xml" ContentType="application/vnd.ms-office.chartcolorstyle+xml"/>
  <Override PartName="/xl/charts/chart200.xml" ContentType="application/vnd.openxmlformats-officedocument.drawingml.chart+xml"/>
  <Override PartName="/xl/charts/style171.xml" ContentType="application/vnd.ms-office.chartstyle+xml"/>
  <Override PartName="/xl/charts/colors171.xml" ContentType="application/vnd.ms-office.chartcolorstyle+xml"/>
  <Override PartName="/xl/charts/chart201.xml" ContentType="application/vnd.openxmlformats-officedocument.drawingml.chart+xml"/>
  <Override PartName="/xl/charts/style172.xml" ContentType="application/vnd.ms-office.chartstyle+xml"/>
  <Override PartName="/xl/charts/colors172.xml" ContentType="application/vnd.ms-office.chartcolorstyle+xml"/>
  <Override PartName="/xl/charts/chart202.xml" ContentType="application/vnd.openxmlformats-officedocument.drawingml.chart+xml"/>
  <Override PartName="/xl/charts/style173.xml" ContentType="application/vnd.ms-office.chartstyle+xml"/>
  <Override PartName="/xl/charts/colors173.xml" ContentType="application/vnd.ms-office.chartcolorstyle+xml"/>
  <Override PartName="/xl/charts/chart203.xml" ContentType="application/vnd.openxmlformats-officedocument.drawingml.chart+xml"/>
  <Override PartName="/xl/charts/style174.xml" ContentType="application/vnd.ms-office.chartstyle+xml"/>
  <Override PartName="/xl/charts/colors174.xml" ContentType="application/vnd.ms-office.chartcolorstyle+xml"/>
  <Override PartName="/xl/charts/chart204.xml" ContentType="application/vnd.openxmlformats-officedocument.drawingml.chart+xml"/>
  <Override PartName="/xl/charts/style175.xml" ContentType="application/vnd.ms-office.chartstyle+xml"/>
  <Override PartName="/xl/charts/colors175.xml" ContentType="application/vnd.ms-office.chartcolorstyle+xml"/>
  <Override PartName="/xl/charts/chart205.xml" ContentType="application/vnd.openxmlformats-officedocument.drawingml.chart+xml"/>
  <Override PartName="/xl/charts/style176.xml" ContentType="application/vnd.ms-office.chartstyle+xml"/>
  <Override PartName="/xl/charts/colors176.xml" ContentType="application/vnd.ms-office.chartcolorstyle+xml"/>
  <Override PartName="/xl/charts/chart206.xml" ContentType="application/vnd.openxmlformats-officedocument.drawingml.chart+xml"/>
  <Override PartName="/xl/charts/style177.xml" ContentType="application/vnd.ms-office.chartstyle+xml"/>
  <Override PartName="/xl/charts/colors177.xml" ContentType="application/vnd.ms-office.chartcolorstyle+xml"/>
  <Override PartName="/xl/charts/chart207.xml" ContentType="application/vnd.openxmlformats-officedocument.drawingml.chart+xml"/>
  <Override PartName="/xl/charts/style178.xml" ContentType="application/vnd.ms-office.chartstyle+xml"/>
  <Override PartName="/xl/charts/colors178.xml" ContentType="application/vnd.ms-office.chartcolorstyle+xml"/>
  <Override PartName="/xl/charts/chart208.xml" ContentType="application/vnd.openxmlformats-officedocument.drawingml.chart+xml"/>
  <Override PartName="/xl/charts/style179.xml" ContentType="application/vnd.ms-office.chartstyle+xml"/>
  <Override PartName="/xl/charts/colors179.xml" ContentType="application/vnd.ms-office.chartcolorstyle+xml"/>
  <Override PartName="/xl/charts/chart209.xml" ContentType="application/vnd.openxmlformats-officedocument.drawingml.chart+xml"/>
  <Override PartName="/xl/charts/style180.xml" ContentType="application/vnd.ms-office.chartstyle+xml"/>
  <Override PartName="/xl/charts/colors180.xml" ContentType="application/vnd.ms-office.chartcolorstyle+xml"/>
  <Override PartName="/xl/charts/chart210.xml" ContentType="application/vnd.openxmlformats-officedocument.drawingml.chart+xml"/>
  <Override PartName="/xl/charts/style181.xml" ContentType="application/vnd.ms-office.chartstyle+xml"/>
  <Override PartName="/xl/charts/colors181.xml" ContentType="application/vnd.ms-office.chartcolorstyle+xml"/>
  <Override PartName="/xl/charts/chart211.xml" ContentType="application/vnd.openxmlformats-officedocument.drawingml.chart+xml"/>
  <Override PartName="/xl/charts/style182.xml" ContentType="application/vnd.ms-office.chartstyle+xml"/>
  <Override PartName="/xl/charts/colors182.xml" ContentType="application/vnd.ms-office.chartcolorstyle+xml"/>
  <Override PartName="/xl/charts/chart212.xml" ContentType="application/vnd.openxmlformats-officedocument.drawingml.chart+xml"/>
  <Override PartName="/xl/charts/style183.xml" ContentType="application/vnd.ms-office.chartstyle+xml"/>
  <Override PartName="/xl/charts/colors183.xml" ContentType="application/vnd.ms-office.chartcolorstyle+xml"/>
  <Override PartName="/xl/charts/chart213.xml" ContentType="application/vnd.openxmlformats-officedocument.drawingml.chart+xml"/>
  <Override PartName="/xl/charts/style184.xml" ContentType="application/vnd.ms-office.chartstyle+xml"/>
  <Override PartName="/xl/charts/colors184.xml" ContentType="application/vnd.ms-office.chartcolorstyle+xml"/>
  <Override PartName="/xl/charts/chart214.xml" ContentType="application/vnd.openxmlformats-officedocument.drawingml.chart+xml"/>
  <Override PartName="/xl/charts/style185.xml" ContentType="application/vnd.ms-office.chartstyle+xml"/>
  <Override PartName="/xl/charts/colors185.xml" ContentType="application/vnd.ms-office.chartcolorstyle+xml"/>
  <Override PartName="/xl/charts/chart215.xml" ContentType="application/vnd.openxmlformats-officedocument.drawingml.chart+xml"/>
  <Override PartName="/xl/charts/style186.xml" ContentType="application/vnd.ms-office.chartstyle+xml"/>
  <Override PartName="/xl/charts/colors186.xml" ContentType="application/vnd.ms-office.chartcolorstyle+xml"/>
  <Override PartName="/xl/charts/chart216.xml" ContentType="application/vnd.openxmlformats-officedocument.drawingml.chart+xml"/>
  <Override PartName="/xl/charts/style187.xml" ContentType="application/vnd.ms-office.chartstyle+xml"/>
  <Override PartName="/xl/charts/colors187.xml" ContentType="application/vnd.ms-office.chartcolorstyle+xml"/>
  <Override PartName="/xl/charts/chart217.xml" ContentType="application/vnd.openxmlformats-officedocument.drawingml.chart+xml"/>
  <Override PartName="/xl/charts/style188.xml" ContentType="application/vnd.ms-office.chartstyle+xml"/>
  <Override PartName="/xl/charts/colors188.xml" ContentType="application/vnd.ms-office.chartcolorstyle+xml"/>
  <Override PartName="/xl/charts/chart218.xml" ContentType="application/vnd.openxmlformats-officedocument.drawingml.chart+xml"/>
  <Override PartName="/xl/charts/style189.xml" ContentType="application/vnd.ms-office.chartstyle+xml"/>
  <Override PartName="/xl/charts/colors189.xml" ContentType="application/vnd.ms-office.chartcolorstyle+xml"/>
  <Override PartName="/xl/charts/chart219.xml" ContentType="application/vnd.openxmlformats-officedocument.drawingml.chart+xml"/>
  <Override PartName="/xl/charts/style190.xml" ContentType="application/vnd.ms-office.chartstyle+xml"/>
  <Override PartName="/xl/charts/colors190.xml" ContentType="application/vnd.ms-office.chartcolorstyle+xml"/>
  <Override PartName="/xl/charts/chart220.xml" ContentType="application/vnd.openxmlformats-officedocument.drawingml.chart+xml"/>
  <Override PartName="/xl/charts/style191.xml" ContentType="application/vnd.ms-office.chartstyle+xml"/>
  <Override PartName="/xl/charts/colors191.xml" ContentType="application/vnd.ms-office.chartcolorstyle+xml"/>
  <Override PartName="/xl/charts/chart221.xml" ContentType="application/vnd.openxmlformats-officedocument.drawingml.chart+xml"/>
  <Override PartName="/xl/charts/style192.xml" ContentType="application/vnd.ms-office.chartstyle+xml"/>
  <Override PartName="/xl/charts/colors192.xml" ContentType="application/vnd.ms-office.chartcolorstyle+xml"/>
  <Override PartName="/xl/charts/chart222.xml" ContentType="application/vnd.openxmlformats-officedocument.drawingml.chart+xml"/>
  <Override PartName="/xl/charts/style193.xml" ContentType="application/vnd.ms-office.chartstyle+xml"/>
  <Override PartName="/xl/charts/colors193.xml" ContentType="application/vnd.ms-office.chartcolorstyle+xml"/>
  <Override PartName="/xl/charts/chart223.xml" ContentType="application/vnd.openxmlformats-officedocument.drawingml.chart+xml"/>
  <Override PartName="/xl/charts/style194.xml" ContentType="application/vnd.ms-office.chartstyle+xml"/>
  <Override PartName="/xl/charts/colors194.xml" ContentType="application/vnd.ms-office.chartcolorstyle+xml"/>
  <Override PartName="/xl/charts/chart224.xml" ContentType="application/vnd.openxmlformats-officedocument.drawingml.chart+xml"/>
  <Override PartName="/xl/charts/style195.xml" ContentType="application/vnd.ms-office.chartstyle+xml"/>
  <Override PartName="/xl/charts/colors195.xml" ContentType="application/vnd.ms-office.chartcolorstyle+xml"/>
  <Override PartName="/xl/charts/chart225.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26.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27.xml" ContentType="application/vnd.openxmlformats-officedocument.drawingml.chart+xml"/>
  <Override PartName="/xl/charts/style198.xml" ContentType="application/vnd.ms-office.chartstyle+xml"/>
  <Override PartName="/xl/charts/colors198.xml" ContentType="application/vnd.ms-office.chartcolorstyle+xml"/>
  <Override PartName="/xl/charts/chart228.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29.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30.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31.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32.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33.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34.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35.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36.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37.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38.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39.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40.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41.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42.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43.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44.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45.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46.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47.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48.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49.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50.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51.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52.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53.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54.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55.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56.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57.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58.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59.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60.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61.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62.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63.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64.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65.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66.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67.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68.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69.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70.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71.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72.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73.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74.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75.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76.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77.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78.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79.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80.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81.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82.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83.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84.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85.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86.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87.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88.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89.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90.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91.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92.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93.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94.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95.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96.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97.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98.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99.xml" ContentType="application/vnd.openxmlformats-officedocument.drawingml.chart+xml"/>
  <Override PartName="/xl/charts/style270.xml" ContentType="application/vnd.ms-office.chartstyle+xml"/>
  <Override PartName="/xl/charts/colors270.xml" ContentType="application/vnd.ms-office.chartcolorstyle+xml"/>
  <Override PartName="/xl/charts/chart300.xml" ContentType="application/vnd.openxmlformats-officedocument.drawingml.chart+xml"/>
  <Override PartName="/xl/charts/style271.xml" ContentType="application/vnd.ms-office.chartstyle+xml"/>
  <Override PartName="/xl/charts/colors271.xml" ContentType="application/vnd.ms-office.chartcolorstyle+xml"/>
  <Override PartName="/xl/charts/chart301.xml" ContentType="application/vnd.openxmlformats-officedocument.drawingml.chart+xml"/>
  <Override PartName="/xl/charts/style272.xml" ContentType="application/vnd.ms-office.chartstyle+xml"/>
  <Override PartName="/xl/charts/colors272.xml" ContentType="application/vnd.ms-office.chartcolorstyle+xml"/>
  <Override PartName="/xl/charts/chart302.xml" ContentType="application/vnd.openxmlformats-officedocument.drawingml.chart+xml"/>
  <Override PartName="/xl/charts/style273.xml" ContentType="application/vnd.ms-office.chartstyle+xml"/>
  <Override PartName="/xl/charts/colors273.xml" ContentType="application/vnd.ms-office.chartcolorstyle+xml"/>
  <Override PartName="/xl/charts/chart303.xml" ContentType="application/vnd.openxmlformats-officedocument.drawingml.chart+xml"/>
  <Override PartName="/xl/charts/style274.xml" ContentType="application/vnd.ms-office.chartstyle+xml"/>
  <Override PartName="/xl/charts/colors274.xml" ContentType="application/vnd.ms-office.chartcolorstyle+xml"/>
  <Override PartName="/xl/charts/chart304.xml" ContentType="application/vnd.openxmlformats-officedocument.drawingml.chart+xml"/>
  <Override PartName="/xl/charts/style275.xml" ContentType="application/vnd.ms-office.chartstyle+xml"/>
  <Override PartName="/xl/charts/colors275.xml" ContentType="application/vnd.ms-office.chartcolorstyle+xml"/>
  <Override PartName="/xl/charts/chart305.xml" ContentType="application/vnd.openxmlformats-officedocument.drawingml.chart+xml"/>
  <Override PartName="/xl/charts/style276.xml" ContentType="application/vnd.ms-office.chartstyle+xml"/>
  <Override PartName="/xl/charts/colors276.xml" ContentType="application/vnd.ms-office.chartcolorstyle+xml"/>
  <Override PartName="/xl/charts/chart306.xml" ContentType="application/vnd.openxmlformats-officedocument.drawingml.chart+xml"/>
  <Override PartName="/xl/charts/style277.xml" ContentType="application/vnd.ms-office.chartstyle+xml"/>
  <Override PartName="/xl/charts/colors277.xml" ContentType="application/vnd.ms-office.chartcolorstyle+xml"/>
  <Override PartName="/xl/charts/chart307.xml" ContentType="application/vnd.openxmlformats-officedocument.drawingml.chart+xml"/>
  <Override PartName="/xl/charts/style278.xml" ContentType="application/vnd.ms-office.chartstyle+xml"/>
  <Override PartName="/xl/charts/colors278.xml" ContentType="application/vnd.ms-office.chartcolorstyle+xml"/>
  <Override PartName="/xl/charts/chart308.xml" ContentType="application/vnd.openxmlformats-officedocument.drawingml.chart+xml"/>
  <Override PartName="/xl/charts/style279.xml" ContentType="application/vnd.ms-office.chartstyle+xml"/>
  <Override PartName="/xl/charts/colors279.xml" ContentType="application/vnd.ms-office.chartcolorstyle+xml"/>
  <Override PartName="/xl/charts/chart309.xml" ContentType="application/vnd.openxmlformats-officedocument.drawingml.chart+xml"/>
  <Override PartName="/xl/charts/style280.xml" ContentType="application/vnd.ms-office.chartstyle+xml"/>
  <Override PartName="/xl/charts/colors280.xml" ContentType="application/vnd.ms-office.chartcolorstyle+xml"/>
  <Override PartName="/xl/charts/chart310.xml" ContentType="application/vnd.openxmlformats-officedocument.drawingml.chart+xml"/>
  <Override PartName="/xl/charts/style281.xml" ContentType="application/vnd.ms-office.chartstyle+xml"/>
  <Override PartName="/xl/charts/colors281.xml" ContentType="application/vnd.ms-office.chartcolorstyle+xml"/>
  <Override PartName="/xl/charts/chart311.xml" ContentType="application/vnd.openxmlformats-officedocument.drawingml.chart+xml"/>
  <Override PartName="/xl/charts/style282.xml" ContentType="application/vnd.ms-office.chartstyle+xml"/>
  <Override PartName="/xl/charts/colors282.xml" ContentType="application/vnd.ms-office.chartcolorstyle+xml"/>
  <Override PartName="/xl/charts/chart312.xml" ContentType="application/vnd.openxmlformats-officedocument.drawingml.chart+xml"/>
  <Override PartName="/xl/charts/style283.xml" ContentType="application/vnd.ms-office.chartstyle+xml"/>
  <Override PartName="/xl/charts/colors283.xml" ContentType="application/vnd.ms-office.chartcolorstyle+xml"/>
  <Override PartName="/xl/charts/chart313.xml" ContentType="application/vnd.openxmlformats-officedocument.drawingml.chart+xml"/>
  <Override PartName="/xl/charts/style284.xml" ContentType="application/vnd.ms-office.chartstyle+xml"/>
  <Override PartName="/xl/charts/colors284.xml" ContentType="application/vnd.ms-office.chartcolorstyle+xml"/>
  <Override PartName="/xl/charts/chart314.xml" ContentType="application/vnd.openxmlformats-officedocument.drawingml.chart+xml"/>
  <Override PartName="/xl/charts/style285.xml" ContentType="application/vnd.ms-office.chartstyle+xml"/>
  <Override PartName="/xl/charts/colors285.xml" ContentType="application/vnd.ms-office.chartcolorstyle+xml"/>
  <Override PartName="/xl/charts/chart315.xml" ContentType="application/vnd.openxmlformats-officedocument.drawingml.chart+xml"/>
  <Override PartName="/xl/charts/style286.xml" ContentType="application/vnd.ms-office.chartstyle+xml"/>
  <Override PartName="/xl/charts/colors286.xml" ContentType="application/vnd.ms-office.chartcolorstyle+xml"/>
  <Override PartName="/xl/charts/chart316.xml" ContentType="application/vnd.openxmlformats-officedocument.drawingml.chart+xml"/>
  <Override PartName="/xl/charts/style287.xml" ContentType="application/vnd.ms-office.chartstyle+xml"/>
  <Override PartName="/xl/charts/colors287.xml" ContentType="application/vnd.ms-office.chartcolorstyle+xml"/>
  <Override PartName="/xl/charts/chart317.xml" ContentType="application/vnd.openxmlformats-officedocument.drawingml.chart+xml"/>
  <Override PartName="/xl/charts/style288.xml" ContentType="application/vnd.ms-office.chartstyle+xml"/>
  <Override PartName="/xl/charts/colors288.xml" ContentType="application/vnd.ms-office.chartcolorstyle+xml"/>
  <Override PartName="/xl/charts/chart318.xml" ContentType="application/vnd.openxmlformats-officedocument.drawingml.chart+xml"/>
  <Override PartName="/xl/charts/style289.xml" ContentType="application/vnd.ms-office.chartstyle+xml"/>
  <Override PartName="/xl/charts/colors289.xml" ContentType="application/vnd.ms-office.chartcolorstyle+xml"/>
  <Override PartName="/xl/charts/chart319.xml" ContentType="application/vnd.openxmlformats-officedocument.drawingml.chart+xml"/>
  <Override PartName="/xl/charts/style290.xml" ContentType="application/vnd.ms-office.chartstyle+xml"/>
  <Override PartName="/xl/charts/colors290.xml" ContentType="application/vnd.ms-office.chartcolorstyle+xml"/>
  <Override PartName="/xl/charts/chart320.xml" ContentType="application/vnd.openxmlformats-officedocument.drawingml.chart+xml"/>
  <Override PartName="/xl/charts/style291.xml" ContentType="application/vnd.ms-office.chartstyle+xml"/>
  <Override PartName="/xl/charts/colors291.xml" ContentType="application/vnd.ms-office.chartcolorstyle+xml"/>
  <Override PartName="/xl/charts/chart321.xml" ContentType="application/vnd.openxmlformats-officedocument.drawingml.chart+xml"/>
  <Override PartName="/xl/charts/style292.xml" ContentType="application/vnd.ms-office.chartstyle+xml"/>
  <Override PartName="/xl/charts/colors292.xml" ContentType="application/vnd.ms-office.chartcolorstyle+xml"/>
  <Override PartName="/xl/charts/chart322.xml" ContentType="application/vnd.openxmlformats-officedocument.drawingml.chart+xml"/>
  <Override PartName="/xl/charts/style293.xml" ContentType="application/vnd.ms-office.chartstyle+xml"/>
  <Override PartName="/xl/charts/colors293.xml" ContentType="application/vnd.ms-office.chartcolorstyle+xml"/>
  <Override PartName="/xl/charts/chart323.xml" ContentType="application/vnd.openxmlformats-officedocument.drawingml.chart+xml"/>
  <Override PartName="/xl/charts/style294.xml" ContentType="application/vnd.ms-office.chartstyle+xml"/>
  <Override PartName="/xl/charts/colors294.xml" ContentType="application/vnd.ms-office.chartcolorstyle+xml"/>
  <Override PartName="/xl/charts/chart324.xml" ContentType="application/vnd.openxmlformats-officedocument.drawingml.chart+xml"/>
  <Override PartName="/xl/charts/style295.xml" ContentType="application/vnd.ms-office.chartstyle+xml"/>
  <Override PartName="/xl/charts/colors295.xml" ContentType="application/vnd.ms-office.chartcolorstyle+xml"/>
  <Override PartName="/xl/charts/chart325.xml" ContentType="application/vnd.openxmlformats-officedocument.drawingml.chart+xml"/>
  <Override PartName="/xl/charts/style296.xml" ContentType="application/vnd.ms-office.chartstyle+xml"/>
  <Override PartName="/xl/charts/colors296.xml" ContentType="application/vnd.ms-office.chartcolorstyle+xml"/>
  <Override PartName="/xl/charts/chart326.xml" ContentType="application/vnd.openxmlformats-officedocument.drawingml.chart+xml"/>
  <Override PartName="/xl/charts/style297.xml" ContentType="application/vnd.ms-office.chartstyle+xml"/>
  <Override PartName="/xl/charts/colors297.xml" ContentType="application/vnd.ms-office.chartcolorstyle+xml"/>
  <Override PartName="/xl/charts/chart327.xml" ContentType="application/vnd.openxmlformats-officedocument.drawingml.chart+xml"/>
  <Override PartName="/xl/charts/style298.xml" ContentType="application/vnd.ms-office.chartstyle+xml"/>
  <Override PartName="/xl/charts/colors298.xml" ContentType="application/vnd.ms-office.chartcolorstyle+xml"/>
  <Override PartName="/xl/charts/chart328.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29.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30.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31.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32.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33.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34.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35.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36.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37.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38.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39.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40.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41.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42.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43.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44.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45.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46.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47.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48.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49.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50.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51.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52.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53.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54.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55.xml" ContentType="application/vnd.openxmlformats-officedocument.drawingml.chart+xml"/>
  <Override PartName="/xl/charts/style326.xml" ContentType="application/vnd.ms-office.chartstyle+xml"/>
  <Override PartName="/xl/charts/colors326.xml" ContentType="application/vnd.ms-office.chartcolorsty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356.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57.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58.xml" ContentType="application/vnd.openxmlformats-officedocument.drawingml.chart+xml"/>
  <Override PartName="/xl/charts/style329.xml" ContentType="application/vnd.ms-office.chartstyle+xml"/>
  <Override PartName="/xl/charts/colors329.xml" ContentType="application/vnd.ms-office.chartcolorstyle+xml"/>
  <Override PartName="/xl/drawings/drawing5.xml" ContentType="application/vnd.openxmlformats-officedocument.drawing+xml"/>
  <Override PartName="/xl/charts/chart359.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60.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61.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62.xml" ContentType="application/vnd.openxmlformats-officedocument.drawingml.chart+xml"/>
  <Override PartName="/xl/charts/style333.xml" ContentType="application/vnd.ms-office.chartstyle+xml"/>
  <Override PartName="/xl/charts/colors333.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EstaPastaDeTrabalho"/>
  <mc:AlternateContent xmlns:mc="http://schemas.openxmlformats.org/markup-compatibility/2006">
    <mc:Choice Requires="x15">
      <x15ac:absPath xmlns:x15ac="http://schemas.microsoft.com/office/spreadsheetml/2010/11/ac" url="C:\Users\roger\Desktop\A - AUTOAVALIAÇÃO 2024\"/>
    </mc:Choice>
  </mc:AlternateContent>
  <xr:revisionPtr revIDLastSave="0" documentId="8_{5B87042C-0835-44A3-9445-C7A5C4DF8FFB}" xr6:coauthVersionLast="47" xr6:coauthVersionMax="47" xr10:uidLastSave="{00000000-0000-0000-0000-000000000000}"/>
  <bookViews>
    <workbookView xWindow="-108" yWindow="-108" windowWidth="23256" windowHeight="12456" tabRatio="710" xr2:uid="{00000000-000D-0000-FFFF-FFFF00000000}"/>
  </bookViews>
  <sheets>
    <sheet name="Dashboard-1-AVALIAÇÃO INST." sheetId="15" r:id="rId1"/>
    <sheet name="Dashboard-2-AVALIAÇÃO DIS-EGRES" sheetId="16" r:id="rId2"/>
    <sheet name="Dashboard-3-AVALIAÇÃO DISC." sheetId="14" r:id="rId3"/>
    <sheet name="1-Autoavaliacao-Institucional" sheetId="13" state="hidden" r:id="rId4"/>
    <sheet name="2-Autoavaliacao-Discente-Egress" sheetId="12" state="hidden" r:id="rId5"/>
    <sheet name="D3" sheetId="1" state="hidden" r:id="rId6"/>
    <sheet name="D4" sheetId="2" state="hidden" r:id="rId7"/>
    <sheet name="D5" sheetId="3" state="hidden" r:id="rId8"/>
    <sheet name="D6" sheetId="4" state="hidden" r:id="rId9"/>
    <sheet name="D7" sheetId="5" state="hidden" r:id="rId10"/>
    <sheet name="D8" sheetId="6" state="hidden" r:id="rId11"/>
    <sheet name="D9" sheetId="7" state="hidden" r:id="rId12"/>
    <sheet name="D10" sheetId="8" state="hidden" r:id="rId13"/>
    <sheet name="D11" sheetId="9" state="hidden" r:id="rId14"/>
    <sheet name="D12" sheetId="10" state="hidden" r:id="rId15"/>
    <sheet name="D13" sheetId="11" state="hidden" r:id="rId16"/>
  </sheets>
  <calcPr calcId="191029"/>
</workbook>
</file>

<file path=xl/calcChain.xml><?xml version="1.0" encoding="utf-8"?>
<calcChain xmlns="http://schemas.openxmlformats.org/spreadsheetml/2006/main">
  <c r="H28" i="11" l="1"/>
  <c r="T28" i="11"/>
  <c r="H29" i="11"/>
  <c r="T29" i="11"/>
  <c r="H30" i="11"/>
  <c r="T30" i="11"/>
  <c r="H31" i="11"/>
  <c r="T31" i="11"/>
  <c r="B31" i="11"/>
  <c r="B30" i="11"/>
  <c r="B29" i="11"/>
  <c r="B28" i="11"/>
  <c r="H28" i="10"/>
  <c r="T28" i="10"/>
  <c r="H29" i="10"/>
  <c r="T29" i="10"/>
  <c r="H30" i="10"/>
  <c r="T30" i="10"/>
  <c r="H31" i="10"/>
  <c r="H32" i="10" s="1"/>
  <c r="T31" i="10"/>
  <c r="B31" i="10"/>
  <c r="B30" i="10"/>
  <c r="B29" i="10"/>
  <c r="B28" i="10"/>
  <c r="H28" i="9"/>
  <c r="H32" i="9" s="1"/>
  <c r="T28" i="9"/>
  <c r="H29" i="9"/>
  <c r="T29" i="9"/>
  <c r="H30" i="9"/>
  <c r="T30" i="9"/>
  <c r="H31" i="9"/>
  <c r="T31" i="9"/>
  <c r="B31" i="9"/>
  <c r="B30" i="9"/>
  <c r="B29" i="9"/>
  <c r="B28" i="9"/>
  <c r="H28" i="8"/>
  <c r="T28" i="8"/>
  <c r="H29" i="8"/>
  <c r="T29" i="8"/>
  <c r="H30" i="8"/>
  <c r="T30" i="8"/>
  <c r="H31" i="8"/>
  <c r="T31" i="8"/>
  <c r="H32" i="8"/>
  <c r="T32" i="8"/>
  <c r="B31" i="8"/>
  <c r="B30" i="8"/>
  <c r="B29" i="8"/>
  <c r="B28" i="8"/>
  <c r="H28" i="7"/>
  <c r="T28" i="7"/>
  <c r="H29" i="7"/>
  <c r="H32" i="7" s="1"/>
  <c r="T29" i="7"/>
  <c r="H30" i="7"/>
  <c r="T30" i="7"/>
  <c r="H31" i="7"/>
  <c r="T31" i="7"/>
  <c r="T32" i="7"/>
  <c r="B31" i="7"/>
  <c r="B30" i="7"/>
  <c r="B29" i="7"/>
  <c r="B28" i="7"/>
  <c r="H28" i="6"/>
  <c r="T28" i="6"/>
  <c r="H29" i="6"/>
  <c r="T29" i="6"/>
  <c r="H30" i="6"/>
  <c r="T30" i="6"/>
  <c r="H31" i="6"/>
  <c r="T31" i="6"/>
  <c r="B31" i="6"/>
  <c r="B30" i="6"/>
  <c r="B29" i="6"/>
  <c r="B28" i="6"/>
  <c r="H28" i="5"/>
  <c r="T28" i="5"/>
  <c r="H29" i="5"/>
  <c r="T29" i="5"/>
  <c r="H30" i="5"/>
  <c r="T30" i="5"/>
  <c r="H31" i="5"/>
  <c r="T31" i="5"/>
  <c r="B31" i="5"/>
  <c r="B30" i="5"/>
  <c r="B29" i="5"/>
  <c r="B28" i="5"/>
  <c r="H28" i="4"/>
  <c r="T28" i="4"/>
  <c r="H29" i="4"/>
  <c r="T29" i="4"/>
  <c r="H30" i="4"/>
  <c r="T30" i="4"/>
  <c r="H31" i="4"/>
  <c r="T31" i="4"/>
  <c r="B31" i="4"/>
  <c r="B30" i="4"/>
  <c r="B29" i="4"/>
  <c r="B28" i="4"/>
  <c r="H28" i="3"/>
  <c r="T28" i="3"/>
  <c r="H29" i="3"/>
  <c r="T29" i="3"/>
  <c r="H30" i="3"/>
  <c r="T30" i="3"/>
  <c r="H31" i="3"/>
  <c r="H32" i="3" s="1"/>
  <c r="T31" i="3"/>
  <c r="T32" i="3" s="1"/>
  <c r="B31" i="3"/>
  <c r="B30" i="3"/>
  <c r="B29" i="3"/>
  <c r="B28" i="3"/>
  <c r="H28" i="2"/>
  <c r="T28" i="2"/>
  <c r="H29" i="2"/>
  <c r="T29" i="2"/>
  <c r="H30" i="2"/>
  <c r="T30" i="2"/>
  <c r="H31" i="2"/>
  <c r="T31" i="2"/>
  <c r="B31" i="2"/>
  <c r="B30" i="2"/>
  <c r="B29" i="2"/>
  <c r="B28" i="2"/>
  <c r="H28" i="1"/>
  <c r="T28" i="1"/>
  <c r="H29" i="1"/>
  <c r="T29" i="1"/>
  <c r="H30" i="1"/>
  <c r="T30" i="1"/>
  <c r="H31" i="1"/>
  <c r="T31" i="1"/>
  <c r="T32" i="1" s="1"/>
  <c r="B31" i="1"/>
  <c r="B30" i="1"/>
  <c r="B29" i="1"/>
  <c r="B28" i="1"/>
  <c r="H102" i="12"/>
  <c r="B102" i="12"/>
  <c r="H101" i="12"/>
  <c r="B101" i="12"/>
  <c r="H100" i="12"/>
  <c r="C100" i="12"/>
  <c r="B100" i="12"/>
  <c r="H99" i="12"/>
  <c r="H103" i="12" s="1"/>
  <c r="B99" i="12"/>
  <c r="H48" i="12"/>
  <c r="H47" i="12"/>
  <c r="B47" i="12"/>
  <c r="H46" i="12"/>
  <c r="B46" i="12"/>
  <c r="H45" i="12"/>
  <c r="B45" i="12"/>
  <c r="H44" i="12"/>
  <c r="B44" i="12"/>
  <c r="E139" i="13"/>
  <c r="E138" i="13"/>
  <c r="E137" i="13"/>
  <c r="E136" i="13"/>
  <c r="E74" i="13"/>
  <c r="E73" i="13"/>
  <c r="E72" i="13"/>
  <c r="C459" i="14"/>
  <c r="C458" i="14"/>
  <c r="C457" i="14"/>
  <c r="C456" i="14"/>
  <c r="C440" i="14"/>
  <c r="C439" i="14"/>
  <c r="C438" i="14"/>
  <c r="C437" i="14"/>
  <c r="C421" i="14"/>
  <c r="C420" i="14"/>
  <c r="C419" i="14"/>
  <c r="C418" i="14"/>
  <c r="C402" i="14"/>
  <c r="C401" i="14"/>
  <c r="C400" i="14"/>
  <c r="C399" i="14"/>
  <c r="C383" i="14"/>
  <c r="C382" i="14"/>
  <c r="C381" i="14"/>
  <c r="C380" i="14"/>
  <c r="C364" i="14"/>
  <c r="C363" i="14"/>
  <c r="C362" i="14"/>
  <c r="C361" i="14"/>
  <c r="C345" i="14"/>
  <c r="C344" i="14"/>
  <c r="C343" i="14"/>
  <c r="C342" i="14"/>
  <c r="C325" i="14"/>
  <c r="C324" i="14"/>
  <c r="C323" i="14"/>
  <c r="C322" i="14"/>
  <c r="C305" i="14"/>
  <c r="C304" i="14"/>
  <c r="C303" i="14"/>
  <c r="C302" i="14"/>
  <c r="C286" i="14"/>
  <c r="C285" i="14"/>
  <c r="C284" i="14"/>
  <c r="C283" i="14"/>
  <c r="C267" i="14"/>
  <c r="C266" i="14"/>
  <c r="C265" i="14"/>
  <c r="C264" i="14"/>
  <c r="C248" i="14"/>
  <c r="C247" i="14"/>
  <c r="C246" i="14"/>
  <c r="C245" i="14"/>
  <c r="C229" i="14"/>
  <c r="C228" i="14"/>
  <c r="C227" i="14"/>
  <c r="C226" i="14"/>
  <c r="C210" i="14"/>
  <c r="C209" i="14"/>
  <c r="C208" i="14"/>
  <c r="C207" i="14"/>
  <c r="C191" i="14"/>
  <c r="C190" i="14"/>
  <c r="C189" i="14"/>
  <c r="C188" i="14"/>
  <c r="C172" i="14"/>
  <c r="C171" i="14"/>
  <c r="C170" i="14"/>
  <c r="C169" i="14"/>
  <c r="C153" i="14"/>
  <c r="C152" i="14"/>
  <c r="C151" i="14"/>
  <c r="C150" i="14"/>
  <c r="C134" i="14"/>
  <c r="C133" i="14"/>
  <c r="C132" i="14"/>
  <c r="C131" i="14"/>
  <c r="C114" i="14"/>
  <c r="C113" i="14"/>
  <c r="C112" i="14"/>
  <c r="C111" i="14"/>
  <c r="C94" i="14"/>
  <c r="C93" i="14"/>
  <c r="C92" i="14"/>
  <c r="C91" i="14"/>
  <c r="C75" i="14"/>
  <c r="C74" i="14"/>
  <c r="C73" i="14"/>
  <c r="C72" i="14"/>
  <c r="C56" i="14"/>
  <c r="C55" i="14"/>
  <c r="C54" i="14"/>
  <c r="C53" i="14"/>
  <c r="C37" i="14"/>
  <c r="C36" i="14"/>
  <c r="C35" i="14"/>
  <c r="C34" i="14"/>
  <c r="C20" i="14"/>
  <c r="C19" i="14"/>
  <c r="C18" i="14"/>
  <c r="C17" i="14"/>
  <c r="T176" i="16"/>
  <c r="T175" i="16"/>
  <c r="T174" i="16"/>
  <c r="T173" i="16"/>
  <c r="T155" i="16"/>
  <c r="T154" i="16"/>
  <c r="T153" i="16"/>
  <c r="T152" i="16"/>
  <c r="T136" i="16"/>
  <c r="T135" i="16"/>
  <c r="T134" i="16"/>
  <c r="T133" i="16"/>
  <c r="T118" i="16"/>
  <c r="T117" i="16"/>
  <c r="T116" i="16"/>
  <c r="T115" i="16"/>
  <c r="T99" i="16"/>
  <c r="T98" i="16"/>
  <c r="T97" i="16"/>
  <c r="T96" i="16"/>
  <c r="T80" i="16"/>
  <c r="T79" i="16"/>
  <c r="T78" i="16"/>
  <c r="T77" i="16"/>
  <c r="T58" i="16"/>
  <c r="T57" i="16"/>
  <c r="T56" i="16"/>
  <c r="T55" i="16"/>
  <c r="T39" i="16"/>
  <c r="T38" i="16"/>
  <c r="T37" i="16"/>
  <c r="T36" i="16"/>
  <c r="T20" i="16"/>
  <c r="T19" i="16"/>
  <c r="T18" i="16"/>
  <c r="T17" i="16"/>
  <c r="D177" i="16"/>
  <c r="D176" i="16"/>
  <c r="D175" i="16"/>
  <c r="D174" i="16"/>
  <c r="D156" i="16"/>
  <c r="D155" i="16"/>
  <c r="D154" i="16"/>
  <c r="D153" i="16"/>
  <c r="D137" i="16"/>
  <c r="D136" i="16"/>
  <c r="D135" i="16"/>
  <c r="D134" i="16"/>
  <c r="D119" i="16"/>
  <c r="D118" i="16"/>
  <c r="D117" i="16"/>
  <c r="D116" i="16"/>
  <c r="D100" i="16"/>
  <c r="D99" i="16"/>
  <c r="D98" i="16"/>
  <c r="D97" i="16"/>
  <c r="D81" i="16"/>
  <c r="D80" i="16"/>
  <c r="D79" i="16"/>
  <c r="D78" i="16"/>
  <c r="D59" i="16"/>
  <c r="D58" i="16"/>
  <c r="D57" i="16"/>
  <c r="D56" i="16"/>
  <c r="D40" i="16"/>
  <c r="D39" i="16"/>
  <c r="D38" i="16"/>
  <c r="D37" i="16"/>
  <c r="D21" i="16"/>
  <c r="D20" i="16"/>
  <c r="D19" i="16"/>
  <c r="D18" i="16"/>
  <c r="T396" i="15"/>
  <c r="T395" i="15"/>
  <c r="T394" i="15"/>
  <c r="T393" i="15"/>
  <c r="T376" i="15"/>
  <c r="T375" i="15"/>
  <c r="T374" i="15"/>
  <c r="T373" i="15"/>
  <c r="T356" i="15"/>
  <c r="T355" i="15"/>
  <c r="T354" i="15"/>
  <c r="T353" i="15"/>
  <c r="T337" i="15"/>
  <c r="T336" i="15"/>
  <c r="T335" i="15"/>
  <c r="T334" i="15"/>
  <c r="T315" i="15"/>
  <c r="T314" i="15"/>
  <c r="T313" i="15"/>
  <c r="T312" i="15"/>
  <c r="T295" i="15"/>
  <c r="T294" i="15"/>
  <c r="T293" i="15"/>
  <c r="T292" i="15"/>
  <c r="T276" i="15"/>
  <c r="T275" i="15"/>
  <c r="T274" i="15"/>
  <c r="T273" i="15"/>
  <c r="T257" i="15"/>
  <c r="T256" i="15"/>
  <c r="T255" i="15"/>
  <c r="T254" i="15"/>
  <c r="T238" i="15"/>
  <c r="T237" i="15"/>
  <c r="T236" i="15"/>
  <c r="T235" i="15"/>
  <c r="T217" i="15"/>
  <c r="T216" i="15"/>
  <c r="T215" i="15"/>
  <c r="T214" i="15"/>
  <c r="T196" i="15"/>
  <c r="T195" i="15"/>
  <c r="T194" i="15"/>
  <c r="T193" i="15"/>
  <c r="T176" i="15"/>
  <c r="T175" i="15"/>
  <c r="T174" i="15"/>
  <c r="T173" i="15"/>
  <c r="T156" i="15"/>
  <c r="T155" i="15"/>
  <c r="T154" i="15"/>
  <c r="T153" i="15"/>
  <c r="T135" i="15"/>
  <c r="T134" i="15"/>
  <c r="T133" i="15"/>
  <c r="T132" i="15"/>
  <c r="T115" i="15"/>
  <c r="T114" i="15"/>
  <c r="T113" i="15"/>
  <c r="T112" i="15"/>
  <c r="T95" i="15"/>
  <c r="T94" i="15"/>
  <c r="T93" i="15"/>
  <c r="T92" i="15"/>
  <c r="T74" i="15"/>
  <c r="T73" i="15"/>
  <c r="T72" i="15"/>
  <c r="T71" i="15"/>
  <c r="T56" i="15"/>
  <c r="T55" i="15"/>
  <c r="T54" i="15"/>
  <c r="T53" i="15"/>
  <c r="T38" i="15"/>
  <c r="T37" i="15"/>
  <c r="T36" i="15"/>
  <c r="T35" i="15"/>
  <c r="D397" i="15"/>
  <c r="D396" i="15"/>
  <c r="D395" i="15"/>
  <c r="D394" i="15"/>
  <c r="D377" i="15"/>
  <c r="D376" i="15"/>
  <c r="D375" i="15"/>
  <c r="D374" i="15"/>
  <c r="D357" i="15"/>
  <c r="D356" i="15"/>
  <c r="D355" i="15"/>
  <c r="D354" i="15"/>
  <c r="D337" i="15"/>
  <c r="D336" i="15"/>
  <c r="D335" i="15"/>
  <c r="D334" i="15"/>
  <c r="D316" i="15"/>
  <c r="D315" i="15"/>
  <c r="D314" i="15"/>
  <c r="D313" i="15"/>
  <c r="D296" i="15"/>
  <c r="D295" i="15"/>
  <c r="D294" i="15"/>
  <c r="D293" i="15"/>
  <c r="D276" i="15"/>
  <c r="D275" i="15"/>
  <c r="D274" i="15"/>
  <c r="D273" i="15"/>
  <c r="D257" i="15"/>
  <c r="D256" i="15"/>
  <c r="D255" i="15"/>
  <c r="D254" i="15"/>
  <c r="D238" i="15"/>
  <c r="D237" i="15"/>
  <c r="D236" i="15"/>
  <c r="D235" i="15"/>
  <c r="D218" i="15"/>
  <c r="D217" i="15"/>
  <c r="D216" i="15"/>
  <c r="D215" i="15"/>
  <c r="D197" i="15"/>
  <c r="D196" i="15"/>
  <c r="D195" i="15"/>
  <c r="D194" i="15"/>
  <c r="D177" i="15"/>
  <c r="D176" i="15"/>
  <c r="D175" i="15"/>
  <c r="D174" i="15"/>
  <c r="D157" i="15"/>
  <c r="D156" i="15"/>
  <c r="D155" i="15"/>
  <c r="D154" i="15"/>
  <c r="D136" i="15"/>
  <c r="D135" i="15"/>
  <c r="D134" i="15"/>
  <c r="D133" i="15"/>
  <c r="D116" i="15"/>
  <c r="D115" i="15"/>
  <c r="D114" i="15"/>
  <c r="D113" i="15"/>
  <c r="D96" i="15"/>
  <c r="D95" i="15"/>
  <c r="D94" i="15"/>
  <c r="D93" i="15"/>
  <c r="D75" i="15"/>
  <c r="D74" i="15"/>
  <c r="D73" i="15"/>
  <c r="D72" i="15"/>
  <c r="D57" i="15"/>
  <c r="D56" i="15"/>
  <c r="D55" i="15"/>
  <c r="D54" i="15"/>
  <c r="D39" i="15"/>
  <c r="D38" i="15"/>
  <c r="D37" i="15"/>
  <c r="D36" i="15"/>
  <c r="T20" i="15"/>
  <c r="T19" i="15"/>
  <c r="T18" i="15"/>
  <c r="T17" i="15"/>
  <c r="D21" i="15"/>
  <c r="D20" i="15"/>
  <c r="D19" i="15"/>
  <c r="D18" i="15"/>
  <c r="A90" i="15"/>
  <c r="A89" i="15"/>
  <c r="A88" i="15"/>
  <c r="A87" i="15"/>
  <c r="A86" i="15"/>
  <c r="A85" i="15"/>
  <c r="E71" i="13"/>
  <c r="D11" i="15"/>
  <c r="D13" i="15"/>
  <c r="B104" i="15"/>
  <c r="B103" i="15"/>
  <c r="B102" i="15"/>
  <c r="B101" i="15"/>
  <c r="B84" i="15"/>
  <c r="B83" i="15"/>
  <c r="B82" i="15"/>
  <c r="B81" i="15"/>
  <c r="B80" i="15"/>
  <c r="B79" i="15"/>
  <c r="B25" i="11"/>
  <c r="B24" i="11"/>
  <c r="B23" i="11"/>
  <c r="B22" i="11"/>
  <c r="B21" i="11"/>
  <c r="B20" i="11"/>
  <c r="B25" i="10"/>
  <c r="B24" i="10"/>
  <c r="B23" i="10"/>
  <c r="B22" i="10"/>
  <c r="B21" i="10"/>
  <c r="B20" i="10"/>
  <c r="B25" i="9"/>
  <c r="B24" i="9"/>
  <c r="B23" i="9"/>
  <c r="B22" i="9"/>
  <c r="B21" i="9"/>
  <c r="B20" i="9"/>
  <c r="B25" i="8"/>
  <c r="B24" i="8"/>
  <c r="B23" i="8"/>
  <c r="B22" i="8"/>
  <c r="B21" i="8"/>
  <c r="B20" i="8"/>
  <c r="B25" i="7"/>
  <c r="B24" i="7"/>
  <c r="B23" i="7"/>
  <c r="B22" i="7"/>
  <c r="B21" i="7"/>
  <c r="B20" i="7"/>
  <c r="B25" i="6"/>
  <c r="B24" i="6"/>
  <c r="B23" i="6"/>
  <c r="B22" i="6"/>
  <c r="B21" i="6"/>
  <c r="B20" i="6"/>
  <c r="B25" i="5"/>
  <c r="B24" i="5"/>
  <c r="B23" i="5"/>
  <c r="B22" i="5"/>
  <c r="B21" i="5"/>
  <c r="B20" i="5"/>
  <c r="B25" i="4"/>
  <c r="B24" i="4"/>
  <c r="B23" i="4"/>
  <c r="B22" i="4"/>
  <c r="B21" i="4"/>
  <c r="B20" i="4"/>
  <c r="B25" i="3"/>
  <c r="B24" i="3"/>
  <c r="B23" i="3"/>
  <c r="B22" i="3"/>
  <c r="B21" i="3"/>
  <c r="B20" i="3"/>
  <c r="B25" i="2"/>
  <c r="B24" i="2"/>
  <c r="B23" i="2"/>
  <c r="B22" i="2"/>
  <c r="B21" i="2"/>
  <c r="B20" i="2"/>
  <c r="B25" i="1"/>
  <c r="B24" i="1"/>
  <c r="B23" i="1"/>
  <c r="B22" i="1"/>
  <c r="B21" i="1"/>
  <c r="B20" i="1"/>
  <c r="A41" i="12"/>
  <c r="A40" i="12"/>
  <c r="A39" i="12"/>
  <c r="A38" i="12"/>
  <c r="A37" i="12"/>
  <c r="A36" i="12"/>
  <c r="A96" i="12"/>
  <c r="A95" i="12"/>
  <c r="A94" i="12"/>
  <c r="A93" i="12"/>
  <c r="A92" i="12"/>
  <c r="A91" i="12"/>
  <c r="A68" i="13"/>
  <c r="A67" i="13"/>
  <c r="A66" i="13"/>
  <c r="A65" i="13"/>
  <c r="A64" i="13"/>
  <c r="A63" i="13"/>
  <c r="A133" i="13"/>
  <c r="A132" i="13"/>
  <c r="A131" i="13"/>
  <c r="A130" i="13"/>
  <c r="A129" i="13"/>
  <c r="A128" i="13"/>
  <c r="A25" i="16"/>
  <c r="A24" i="16"/>
  <c r="A23" i="16"/>
  <c r="A22" i="16"/>
  <c r="A21" i="16"/>
  <c r="A20" i="16"/>
  <c r="T9" i="16" s="1"/>
  <c r="A29" i="14"/>
  <c r="C453" i="14" s="1"/>
  <c r="A28" i="14"/>
  <c r="C452" i="14" s="1"/>
  <c r="A27" i="14"/>
  <c r="C432" i="14" s="1"/>
  <c r="A26" i="14"/>
  <c r="C431" i="14" s="1"/>
  <c r="A25" i="14"/>
  <c r="C449" i="14" s="1"/>
  <c r="A24" i="14"/>
  <c r="C448" i="14" s="1"/>
  <c r="D391" i="15"/>
  <c r="D390" i="15"/>
  <c r="D389" i="15"/>
  <c r="D388" i="15"/>
  <c r="D387" i="15"/>
  <c r="D386" i="15"/>
  <c r="D371" i="15"/>
  <c r="D370" i="15"/>
  <c r="D369" i="15"/>
  <c r="D368" i="15"/>
  <c r="D367" i="15"/>
  <c r="D366" i="15"/>
  <c r="D351" i="15"/>
  <c r="D350" i="15"/>
  <c r="D349" i="15"/>
  <c r="D348" i="15"/>
  <c r="D347" i="15"/>
  <c r="D346" i="15"/>
  <c r="D331" i="15"/>
  <c r="D330" i="15"/>
  <c r="D329" i="15"/>
  <c r="D328" i="15"/>
  <c r="D327" i="15"/>
  <c r="D326" i="15"/>
  <c r="D310" i="15"/>
  <c r="D309" i="15"/>
  <c r="D308" i="15"/>
  <c r="D307" i="15"/>
  <c r="D306" i="15"/>
  <c r="D305" i="15"/>
  <c r="D290" i="15"/>
  <c r="D289" i="15"/>
  <c r="D288" i="15"/>
  <c r="D287" i="15"/>
  <c r="D286" i="15"/>
  <c r="D285" i="15"/>
  <c r="D270" i="15"/>
  <c r="D269" i="15"/>
  <c r="D268" i="15"/>
  <c r="D267" i="15"/>
  <c r="D266" i="15"/>
  <c r="D265" i="15"/>
  <c r="D251" i="15"/>
  <c r="D250" i="15"/>
  <c r="D249" i="15"/>
  <c r="D248" i="15"/>
  <c r="D247" i="15"/>
  <c r="D246" i="15"/>
  <c r="D232" i="15"/>
  <c r="T232" i="15" s="1"/>
  <c r="D231" i="15"/>
  <c r="D230" i="15"/>
  <c r="D229" i="15"/>
  <c r="D228" i="15"/>
  <c r="D227" i="15"/>
  <c r="D212" i="15"/>
  <c r="D211" i="15"/>
  <c r="D210" i="15"/>
  <c r="D209" i="15"/>
  <c r="D208" i="15"/>
  <c r="D207" i="15"/>
  <c r="D191" i="15"/>
  <c r="D190" i="15"/>
  <c r="D189" i="15"/>
  <c r="D188" i="15"/>
  <c r="D187" i="15"/>
  <c r="D186" i="15"/>
  <c r="D171" i="15"/>
  <c r="D170" i="15"/>
  <c r="D169" i="15"/>
  <c r="D168" i="15"/>
  <c r="D167" i="15"/>
  <c r="D166" i="15"/>
  <c r="D151" i="15"/>
  <c r="D150" i="15"/>
  <c r="D149" i="15"/>
  <c r="D148" i="15"/>
  <c r="D147" i="15"/>
  <c r="D146" i="15"/>
  <c r="D130" i="15"/>
  <c r="D129" i="15"/>
  <c r="D128" i="15"/>
  <c r="D127" i="15"/>
  <c r="D126" i="15"/>
  <c r="D125" i="15"/>
  <c r="D110" i="15"/>
  <c r="D109" i="15"/>
  <c r="D108" i="15"/>
  <c r="D107" i="15"/>
  <c r="D106" i="15"/>
  <c r="D105" i="15"/>
  <c r="D90" i="15"/>
  <c r="D89" i="15"/>
  <c r="D88" i="15"/>
  <c r="D87" i="15"/>
  <c r="D86" i="15"/>
  <c r="D85" i="15"/>
  <c r="D69" i="15"/>
  <c r="D68" i="15"/>
  <c r="D67" i="15"/>
  <c r="D66" i="15"/>
  <c r="D65" i="15"/>
  <c r="D64" i="15"/>
  <c r="D51" i="15"/>
  <c r="D50" i="15"/>
  <c r="D49" i="15"/>
  <c r="D48" i="15"/>
  <c r="D47" i="15"/>
  <c r="D46" i="15"/>
  <c r="D33" i="15"/>
  <c r="D32" i="15"/>
  <c r="D31" i="15"/>
  <c r="D30" i="15"/>
  <c r="D29" i="15"/>
  <c r="D28" i="15"/>
  <c r="D15" i="15"/>
  <c r="D14" i="15"/>
  <c r="D12" i="15"/>
  <c r="D10" i="15"/>
  <c r="A136" i="13"/>
  <c r="H128" i="13" s="1"/>
  <c r="A99" i="12"/>
  <c r="G93" i="12" s="1"/>
  <c r="G100" i="12" s="1"/>
  <c r="D91" i="12"/>
  <c r="D99" i="12" s="1"/>
  <c r="I91" i="12"/>
  <c r="L91" i="12"/>
  <c r="D92" i="12"/>
  <c r="G92" i="12"/>
  <c r="I92" i="12"/>
  <c r="L92" i="12"/>
  <c r="D93" i="12"/>
  <c r="D100" i="12" s="1"/>
  <c r="I93" i="12"/>
  <c r="I100" i="12" s="1"/>
  <c r="L93" i="12"/>
  <c r="L100" i="12" s="1"/>
  <c r="D94" i="12"/>
  <c r="D101" i="12" s="1"/>
  <c r="E94" i="12"/>
  <c r="F94" i="12"/>
  <c r="F101" i="12" s="1"/>
  <c r="G94" i="12"/>
  <c r="I94" i="12"/>
  <c r="J94" i="12"/>
  <c r="J101" i="12" s="1"/>
  <c r="K94" i="12"/>
  <c r="K101" i="12" s="1"/>
  <c r="L94" i="12"/>
  <c r="L101" i="12" s="1"/>
  <c r="D95" i="12"/>
  <c r="F95" i="12"/>
  <c r="G95" i="12"/>
  <c r="I95" i="12"/>
  <c r="I101" i="12" s="1"/>
  <c r="J95" i="12"/>
  <c r="K95" i="12"/>
  <c r="L95" i="12"/>
  <c r="D96" i="12"/>
  <c r="D102" i="12" s="1"/>
  <c r="E96" i="12"/>
  <c r="E102" i="12" s="1"/>
  <c r="F96" i="12"/>
  <c r="F102" i="12" s="1"/>
  <c r="G96" i="12"/>
  <c r="G102" i="12" s="1"/>
  <c r="I96" i="12"/>
  <c r="I102" i="12" s="1"/>
  <c r="K96" i="12"/>
  <c r="K102" i="12" s="1"/>
  <c r="L96" i="12"/>
  <c r="L102" i="12" s="1"/>
  <c r="C96" i="12"/>
  <c r="C102" i="12" s="1"/>
  <c r="C95" i="12"/>
  <c r="C94" i="12"/>
  <c r="C101" i="12" s="1"/>
  <c r="C93" i="12"/>
  <c r="C92" i="12"/>
  <c r="C91" i="12"/>
  <c r="C99" i="12" s="1"/>
  <c r="A71" i="13"/>
  <c r="A43" i="12"/>
  <c r="A101" i="12" s="1"/>
  <c r="B35" i="10"/>
  <c r="B36" i="10"/>
  <c r="B36" i="11"/>
  <c r="B35" i="11"/>
  <c r="B35" i="9"/>
  <c r="B36" i="9"/>
  <c r="B36" i="8"/>
  <c r="B35" i="8"/>
  <c r="B36" i="7"/>
  <c r="B35" i="7"/>
  <c r="B35" i="6"/>
  <c r="B35" i="5"/>
  <c r="B35" i="4"/>
  <c r="B36" i="6"/>
  <c r="B36" i="5"/>
  <c r="B36" i="4"/>
  <c r="B36" i="3"/>
  <c r="B35" i="3"/>
  <c r="B36" i="2"/>
  <c r="B35" i="2"/>
  <c r="B36" i="1"/>
  <c r="B35" i="1"/>
  <c r="B60" i="16"/>
  <c r="B59" i="16"/>
  <c r="B62" i="15"/>
  <c r="B61" i="15"/>
  <c r="B60" i="15"/>
  <c r="C103" i="12" l="1"/>
  <c r="G101" i="12"/>
  <c r="I99" i="12"/>
  <c r="I103" i="12" s="1"/>
  <c r="D103" i="12"/>
  <c r="J96" i="12"/>
  <c r="J102" i="12" s="1"/>
  <c r="E95" i="12"/>
  <c r="L99" i="12"/>
  <c r="L103" i="12" s="1"/>
  <c r="T32" i="10"/>
  <c r="E101" i="12"/>
  <c r="H32" i="1"/>
  <c r="T32" i="6"/>
  <c r="T32" i="9"/>
  <c r="H32" i="4"/>
  <c r="T32" i="2"/>
  <c r="H32" i="2"/>
  <c r="T32" i="4"/>
  <c r="H32" i="6"/>
  <c r="T32" i="11"/>
  <c r="H32" i="11"/>
  <c r="T32" i="5"/>
  <c r="H32" i="5"/>
  <c r="A64" i="16"/>
  <c r="A63" i="16" s="1"/>
  <c r="X133" i="13"/>
  <c r="X139" i="13" s="1"/>
  <c r="P133" i="13"/>
  <c r="P139" i="13" s="1"/>
  <c r="H133" i="13"/>
  <c r="H139" i="13" s="1"/>
  <c r="S132" i="13"/>
  <c r="K132" i="13"/>
  <c r="V131" i="13"/>
  <c r="N131" i="13"/>
  <c r="Y130" i="13"/>
  <c r="Y137" i="13" s="1"/>
  <c r="X129" i="13"/>
  <c r="K128" i="13"/>
  <c r="K136" i="13" s="1"/>
  <c r="K140" i="13" s="1"/>
  <c r="F131" i="13"/>
  <c r="F138" i="13" s="1"/>
  <c r="U133" i="13"/>
  <c r="U139" i="13" s="1"/>
  <c r="M133" i="13"/>
  <c r="M139" i="13" s="1"/>
  <c r="X132" i="13"/>
  <c r="P132" i="13"/>
  <c r="H132" i="13"/>
  <c r="S131" i="13"/>
  <c r="K131" i="13"/>
  <c r="K138" i="13" s="1"/>
  <c r="U130" i="13"/>
  <c r="U137" i="13" s="1"/>
  <c r="L129" i="13"/>
  <c r="Y133" i="13"/>
  <c r="Y139" i="13" s="1"/>
  <c r="Q133" i="13"/>
  <c r="Q139" i="13" s="1"/>
  <c r="I133" i="13"/>
  <c r="I139" i="13" s="1"/>
  <c r="T132" i="13"/>
  <c r="L132" i="13"/>
  <c r="W131" i="13"/>
  <c r="O131" i="13"/>
  <c r="G131" i="13"/>
  <c r="I130" i="13"/>
  <c r="I137" i="13" s="1"/>
  <c r="O128" i="13"/>
  <c r="F132" i="13"/>
  <c r="T133" i="13"/>
  <c r="T139" i="13" s="1"/>
  <c r="L133" i="13"/>
  <c r="L139" i="13" s="1"/>
  <c r="W132" i="13"/>
  <c r="O132" i="13"/>
  <c r="G132" i="13"/>
  <c r="R131" i="13"/>
  <c r="J131" i="13"/>
  <c r="R130" i="13"/>
  <c r="R137" i="13" s="1"/>
  <c r="H129" i="13"/>
  <c r="H136" i="13" s="1"/>
  <c r="H140" i="13" s="1"/>
  <c r="A109" i="15"/>
  <c r="A108" i="15"/>
  <c r="A111" i="15"/>
  <c r="A110" i="15"/>
  <c r="F130" i="13"/>
  <c r="F137" i="13" s="1"/>
  <c r="F129" i="13"/>
  <c r="V133" i="13"/>
  <c r="V139" i="13" s="1"/>
  <c r="R133" i="13"/>
  <c r="R139" i="13" s="1"/>
  <c r="N133" i="13"/>
  <c r="N139" i="13" s="1"/>
  <c r="J133" i="13"/>
  <c r="J139" i="13" s="1"/>
  <c r="Y132" i="13"/>
  <c r="U132" i="13"/>
  <c r="Q132" i="13"/>
  <c r="M132" i="13"/>
  <c r="I132" i="13"/>
  <c r="X131" i="13"/>
  <c r="X138" i="13" s="1"/>
  <c r="T131" i="13"/>
  <c r="P131" i="13"/>
  <c r="P138" i="13" s="1"/>
  <c r="L131" i="13"/>
  <c r="L138" i="13" s="1"/>
  <c r="H131" i="13"/>
  <c r="H138" i="13" s="1"/>
  <c r="V130" i="13"/>
  <c r="V137" i="13" s="1"/>
  <c r="M130" i="13"/>
  <c r="M137" i="13" s="1"/>
  <c r="P129" i="13"/>
  <c r="S128" i="13"/>
  <c r="F14" i="15"/>
  <c r="F133" i="13"/>
  <c r="F139" i="13" s="1"/>
  <c r="W133" i="13"/>
  <c r="W139" i="13" s="1"/>
  <c r="S133" i="13"/>
  <c r="S139" i="13" s="1"/>
  <c r="O133" i="13"/>
  <c r="O139" i="13" s="1"/>
  <c r="K133" i="13"/>
  <c r="K139" i="13" s="1"/>
  <c r="G133" i="13"/>
  <c r="G139" i="13" s="1"/>
  <c r="V132" i="13"/>
  <c r="F330" i="15" s="1"/>
  <c r="R132" i="13"/>
  <c r="N132" i="13"/>
  <c r="J132" i="13"/>
  <c r="Y131" i="13"/>
  <c r="Y138" i="13" s="1"/>
  <c r="U131" i="13"/>
  <c r="Q131" i="13"/>
  <c r="Q138" i="13" s="1"/>
  <c r="M131" i="13"/>
  <c r="I131" i="13"/>
  <c r="I138" i="13" s="1"/>
  <c r="W130" i="13"/>
  <c r="W137" i="13" s="1"/>
  <c r="Q130" i="13"/>
  <c r="Q137" i="13" s="1"/>
  <c r="T129" i="13"/>
  <c r="W128" i="13"/>
  <c r="W136" i="13" s="1"/>
  <c r="G128" i="13"/>
  <c r="B105" i="15"/>
  <c r="B85" i="15"/>
  <c r="B63" i="15"/>
  <c r="C60" i="15" s="1"/>
  <c r="C64" i="14"/>
  <c r="C142" i="14"/>
  <c r="C201" i="14"/>
  <c r="C277" i="14"/>
  <c r="C355" i="14"/>
  <c r="C450" i="14"/>
  <c r="C11" i="14"/>
  <c r="C85" i="14"/>
  <c r="C146" i="14"/>
  <c r="C218" i="14"/>
  <c r="C294" i="14"/>
  <c r="C372" i="14"/>
  <c r="C9" i="14"/>
  <c r="C26" i="14"/>
  <c r="C103" i="14"/>
  <c r="C163" i="14"/>
  <c r="C239" i="14"/>
  <c r="C316" i="14"/>
  <c r="C412" i="14"/>
  <c r="C47" i="14"/>
  <c r="C125" i="14"/>
  <c r="C180" i="14"/>
  <c r="C256" i="14"/>
  <c r="C334" i="14"/>
  <c r="C429" i="14"/>
  <c r="X130" i="13"/>
  <c r="X137" i="13" s="1"/>
  <c r="T130" i="13"/>
  <c r="T137" i="13" s="1"/>
  <c r="P130" i="13"/>
  <c r="P137" i="13" s="1"/>
  <c r="L130" i="13"/>
  <c r="L137" i="13" s="1"/>
  <c r="H130" i="13"/>
  <c r="H137" i="13" s="1"/>
  <c r="W129" i="13"/>
  <c r="F347" i="15" s="1"/>
  <c r="S129" i="13"/>
  <c r="F266" i="15" s="1"/>
  <c r="O129" i="13"/>
  <c r="K129" i="13"/>
  <c r="G129" i="13"/>
  <c r="F29" i="15" s="1"/>
  <c r="V128" i="13"/>
  <c r="R128" i="13"/>
  <c r="R136" i="13" s="1"/>
  <c r="N128" i="13"/>
  <c r="J128" i="13"/>
  <c r="J136" i="13" s="1"/>
  <c r="S130" i="13"/>
  <c r="S137" i="13" s="1"/>
  <c r="O130" i="13"/>
  <c r="O137" i="13" s="1"/>
  <c r="K130" i="13"/>
  <c r="K137" i="13" s="1"/>
  <c r="G130" i="13"/>
  <c r="G137" i="13" s="1"/>
  <c r="V129" i="13"/>
  <c r="R129" i="13"/>
  <c r="N129" i="13"/>
  <c r="J129" i="13"/>
  <c r="Y128" i="13"/>
  <c r="U128" i="13"/>
  <c r="U136" i="13" s="1"/>
  <c r="Q128" i="13"/>
  <c r="Q136" i="13" s="1"/>
  <c r="M128" i="13"/>
  <c r="M136" i="13" s="1"/>
  <c r="I128" i="13"/>
  <c r="I136" i="13" s="1"/>
  <c r="F128" i="13"/>
  <c r="N130" i="13"/>
  <c r="N137" i="13" s="1"/>
  <c r="J130" i="13"/>
  <c r="J137" i="13" s="1"/>
  <c r="Y129" i="13"/>
  <c r="U129" i="13"/>
  <c r="Q129" i="13"/>
  <c r="M129" i="13"/>
  <c r="I129" i="13"/>
  <c r="X128" i="13"/>
  <c r="X136" i="13" s="1"/>
  <c r="T128" i="13"/>
  <c r="P128" i="13"/>
  <c r="P136" i="13" s="1"/>
  <c r="L128" i="13"/>
  <c r="L136" i="13" s="1"/>
  <c r="C222" i="14"/>
  <c r="C68" i="14"/>
  <c r="C376" i="14"/>
  <c r="C30" i="14"/>
  <c r="C184" i="14"/>
  <c r="C338" i="14"/>
  <c r="C298" i="14"/>
  <c r="C107" i="14"/>
  <c r="C260" i="14"/>
  <c r="C433" i="14"/>
  <c r="D10" i="16"/>
  <c r="C12" i="14"/>
  <c r="C27" i="14"/>
  <c r="C31" i="14"/>
  <c r="C48" i="14"/>
  <c r="C65" i="14"/>
  <c r="C69" i="14"/>
  <c r="C86" i="14"/>
  <c r="C104" i="14"/>
  <c r="C108" i="14"/>
  <c r="C126" i="14"/>
  <c r="C143" i="14"/>
  <c r="C147" i="14"/>
  <c r="C164" i="14"/>
  <c r="C181" i="14"/>
  <c r="C185" i="14"/>
  <c r="C202" i="14"/>
  <c r="C219" i="14"/>
  <c r="C223" i="14"/>
  <c r="C240" i="14"/>
  <c r="C257" i="14"/>
  <c r="C261" i="14"/>
  <c r="C278" i="14"/>
  <c r="C295" i="14"/>
  <c r="C299" i="14"/>
  <c r="C317" i="14"/>
  <c r="C335" i="14"/>
  <c r="C339" i="14"/>
  <c r="C356" i="14"/>
  <c r="C373" i="14"/>
  <c r="C377" i="14"/>
  <c r="C413" i="14"/>
  <c r="C430" i="14"/>
  <c r="C434" i="14"/>
  <c r="C451" i="14"/>
  <c r="C13" i="14"/>
  <c r="C28" i="14"/>
  <c r="C45" i="14"/>
  <c r="C49" i="14"/>
  <c r="C66" i="14"/>
  <c r="C83" i="14"/>
  <c r="C87" i="14"/>
  <c r="C105" i="14"/>
  <c r="C123" i="14"/>
  <c r="C127" i="14"/>
  <c r="C144" i="14"/>
  <c r="C161" i="14"/>
  <c r="C165" i="14"/>
  <c r="C182" i="14"/>
  <c r="C199" i="14"/>
  <c r="C203" i="14"/>
  <c r="C220" i="14"/>
  <c r="C237" i="14"/>
  <c r="C241" i="14"/>
  <c r="C258" i="14"/>
  <c r="C275" i="14"/>
  <c r="C279" i="14"/>
  <c r="C296" i="14"/>
  <c r="C314" i="14"/>
  <c r="C318" i="14"/>
  <c r="C336" i="14"/>
  <c r="C353" i="14"/>
  <c r="C357" i="14"/>
  <c r="C374" i="14"/>
  <c r="C410" i="14"/>
  <c r="C414" i="14"/>
  <c r="C10" i="14"/>
  <c r="C14" i="14"/>
  <c r="C29" i="14"/>
  <c r="C46" i="14"/>
  <c r="C50" i="14"/>
  <c r="C67" i="14"/>
  <c r="C84" i="14"/>
  <c r="C88" i="14"/>
  <c r="C106" i="14"/>
  <c r="C124" i="14"/>
  <c r="C128" i="14"/>
  <c r="C145" i="14"/>
  <c r="C162" i="14"/>
  <c r="C166" i="14"/>
  <c r="C183" i="14"/>
  <c r="C200" i="14"/>
  <c r="C204" i="14"/>
  <c r="C221" i="14"/>
  <c r="C238" i="14"/>
  <c r="C242" i="14"/>
  <c r="C259" i="14"/>
  <c r="C276" i="14"/>
  <c r="C280" i="14"/>
  <c r="C297" i="14"/>
  <c r="C315" i="14"/>
  <c r="C319" i="14"/>
  <c r="C337" i="14"/>
  <c r="C354" i="14"/>
  <c r="C358" i="14"/>
  <c r="C375" i="14"/>
  <c r="C411" i="14"/>
  <c r="C415" i="14"/>
  <c r="G91" i="12"/>
  <c r="G99" i="12" s="1"/>
  <c r="G103" i="12" s="1"/>
  <c r="K93" i="12"/>
  <c r="K100" i="12" s="1"/>
  <c r="F93" i="12"/>
  <c r="F100" i="12" s="1"/>
  <c r="K92" i="12"/>
  <c r="F92" i="12"/>
  <c r="K91" i="12"/>
  <c r="F91" i="12"/>
  <c r="F99" i="12" s="1"/>
  <c r="J93" i="12"/>
  <c r="J100" i="12" s="1"/>
  <c r="E93" i="12"/>
  <c r="E100" i="12" s="1"/>
  <c r="J92" i="12"/>
  <c r="E92" i="12"/>
  <c r="J91" i="12"/>
  <c r="J99" i="12" s="1"/>
  <c r="J103" i="12" s="1"/>
  <c r="E91" i="12"/>
  <c r="B55" i="14"/>
  <c r="B54" i="14"/>
  <c r="A138" i="13"/>
  <c r="F163" i="16"/>
  <c r="T163" i="16"/>
  <c r="T172" i="16" s="1"/>
  <c r="F142" i="16"/>
  <c r="T142" i="16"/>
  <c r="T151" i="16" s="1"/>
  <c r="F123" i="16"/>
  <c r="T123" i="16"/>
  <c r="T132" i="16" s="1"/>
  <c r="F105" i="16"/>
  <c r="T105" i="16"/>
  <c r="T114" i="16" s="1"/>
  <c r="F86" i="16"/>
  <c r="T86" i="16"/>
  <c r="T95" i="16" s="1"/>
  <c r="F67" i="16"/>
  <c r="T67" i="16"/>
  <c r="T76" i="16" s="1"/>
  <c r="F45" i="16"/>
  <c r="T45" i="16"/>
  <c r="T54" i="16" s="1"/>
  <c r="F26" i="16"/>
  <c r="T26" i="16"/>
  <c r="T35" i="16" s="1"/>
  <c r="T7" i="16"/>
  <c r="T16" i="16" s="1"/>
  <c r="F7" i="16"/>
  <c r="F383" i="15"/>
  <c r="T390" i="15"/>
  <c r="T389" i="15"/>
  <c r="T388" i="15"/>
  <c r="T387" i="15"/>
  <c r="T386" i="15"/>
  <c r="T385" i="15"/>
  <c r="T383" i="15"/>
  <c r="T392" i="15" s="1"/>
  <c r="F363" i="15"/>
  <c r="T370" i="15"/>
  <c r="T369" i="15"/>
  <c r="T368" i="15"/>
  <c r="T367" i="15"/>
  <c r="T366" i="15"/>
  <c r="T365" i="15"/>
  <c r="T363" i="15"/>
  <c r="T372" i="15" s="1"/>
  <c r="F343" i="15"/>
  <c r="T350" i="15"/>
  <c r="T349" i="15"/>
  <c r="T348" i="15"/>
  <c r="T347" i="15"/>
  <c r="T346" i="15"/>
  <c r="T345" i="15"/>
  <c r="T343" i="15"/>
  <c r="T352" i="15" s="1"/>
  <c r="F323" i="15"/>
  <c r="T331" i="15"/>
  <c r="T330" i="15"/>
  <c r="T329" i="15"/>
  <c r="T328" i="15"/>
  <c r="T327" i="15"/>
  <c r="T326" i="15"/>
  <c r="T325" i="15"/>
  <c r="T333" i="15" s="1"/>
  <c r="F302" i="15"/>
  <c r="T309" i="15"/>
  <c r="T308" i="15"/>
  <c r="T307" i="15"/>
  <c r="T306" i="15"/>
  <c r="T305" i="15"/>
  <c r="T304" i="15"/>
  <c r="T302" i="15"/>
  <c r="T311" i="15" s="1"/>
  <c r="F282" i="15"/>
  <c r="T289" i="15"/>
  <c r="T288" i="15"/>
  <c r="T287" i="15"/>
  <c r="T286" i="15"/>
  <c r="T285" i="15"/>
  <c r="T284" i="15"/>
  <c r="T282" i="15"/>
  <c r="T291" i="15" s="1"/>
  <c r="F262" i="15"/>
  <c r="T270" i="15"/>
  <c r="T269" i="15"/>
  <c r="T268" i="15"/>
  <c r="T267" i="15"/>
  <c r="T266" i="15"/>
  <c r="T265" i="15"/>
  <c r="T264" i="15"/>
  <c r="T272" i="15" s="1"/>
  <c r="F243" i="15"/>
  <c r="T251" i="15"/>
  <c r="T250" i="15"/>
  <c r="T249" i="15"/>
  <c r="T248" i="15"/>
  <c r="T247" i="15"/>
  <c r="T246" i="15"/>
  <c r="T245" i="15"/>
  <c r="T253" i="15" s="1"/>
  <c r="F224" i="15"/>
  <c r="T231" i="15"/>
  <c r="T230" i="15"/>
  <c r="T229" i="15"/>
  <c r="T228" i="15"/>
  <c r="T227" i="15"/>
  <c r="T226" i="15"/>
  <c r="T234" i="15" s="1"/>
  <c r="F204" i="15"/>
  <c r="T211" i="15"/>
  <c r="T210" i="15"/>
  <c r="T209" i="15"/>
  <c r="T208" i="15"/>
  <c r="T207" i="15"/>
  <c r="T206" i="15"/>
  <c r="T205" i="15"/>
  <c r="T213" i="15" s="1"/>
  <c r="F183" i="15"/>
  <c r="T190" i="15"/>
  <c r="T189" i="15"/>
  <c r="T188" i="15"/>
  <c r="T187" i="15"/>
  <c r="T186" i="15"/>
  <c r="T185" i="15"/>
  <c r="T184" i="15"/>
  <c r="T192" i="15" s="1"/>
  <c r="F163" i="15"/>
  <c r="T170" i="15"/>
  <c r="T169" i="15"/>
  <c r="T168" i="15"/>
  <c r="T167" i="15"/>
  <c r="T166" i="15"/>
  <c r="T165" i="15"/>
  <c r="T163" i="15"/>
  <c r="T172" i="15" s="1"/>
  <c r="F143" i="15"/>
  <c r="T150" i="15"/>
  <c r="T149" i="15"/>
  <c r="T148" i="15"/>
  <c r="T147" i="15"/>
  <c r="T146" i="15"/>
  <c r="T145" i="15"/>
  <c r="T143" i="15"/>
  <c r="T152" i="15" s="1"/>
  <c r="T129" i="15"/>
  <c r="T128" i="15"/>
  <c r="T127" i="15"/>
  <c r="T126" i="15"/>
  <c r="T125" i="15"/>
  <c r="T124" i="15"/>
  <c r="T122" i="15"/>
  <c r="T131" i="15" s="1"/>
  <c r="T109" i="15"/>
  <c r="T108" i="15"/>
  <c r="T107" i="15"/>
  <c r="T106" i="15"/>
  <c r="T105" i="15"/>
  <c r="T104" i="15"/>
  <c r="T102" i="15"/>
  <c r="T111" i="15" s="1"/>
  <c r="T89" i="15"/>
  <c r="T88" i="15"/>
  <c r="T87" i="15"/>
  <c r="T86" i="15"/>
  <c r="T85" i="15"/>
  <c r="T84" i="15"/>
  <c r="T82" i="15"/>
  <c r="T91" i="15" s="1"/>
  <c r="T68" i="15"/>
  <c r="T67" i="15"/>
  <c r="T66" i="15"/>
  <c r="T65" i="15"/>
  <c r="T64" i="15"/>
  <c r="T63" i="15"/>
  <c r="T61" i="15"/>
  <c r="T70" i="15" s="1"/>
  <c r="T50" i="15"/>
  <c r="T49" i="15"/>
  <c r="T48" i="15"/>
  <c r="T47" i="15"/>
  <c r="T46" i="15"/>
  <c r="T45" i="15"/>
  <c r="T43" i="15"/>
  <c r="T52" i="15" s="1"/>
  <c r="T32" i="15"/>
  <c r="T31" i="15"/>
  <c r="T30" i="15"/>
  <c r="T29" i="15"/>
  <c r="T28" i="15"/>
  <c r="T27" i="15"/>
  <c r="T25" i="15"/>
  <c r="T34" i="15" s="1"/>
  <c r="T7" i="15"/>
  <c r="T16" i="15" s="1"/>
  <c r="T10" i="15"/>
  <c r="T11" i="15"/>
  <c r="T12" i="15"/>
  <c r="T13" i="15"/>
  <c r="T14" i="15"/>
  <c r="T9" i="15"/>
  <c r="F122" i="15"/>
  <c r="F102" i="15"/>
  <c r="F82" i="15"/>
  <c r="F61" i="15"/>
  <c r="F43" i="15"/>
  <c r="F25" i="15"/>
  <c r="A39" i="15"/>
  <c r="A36" i="15"/>
  <c r="F85" i="15"/>
  <c r="F246" i="15"/>
  <c r="F187" i="15"/>
  <c r="F127" i="15"/>
  <c r="F134" i="15" s="1"/>
  <c r="F287" i="15"/>
  <c r="F294" i="15" s="1"/>
  <c r="F230" i="15"/>
  <c r="F308" i="15"/>
  <c r="F389" i="15"/>
  <c r="F170" i="15"/>
  <c r="F250" i="15"/>
  <c r="F110" i="15"/>
  <c r="F116" i="15" s="1"/>
  <c r="F191" i="15"/>
  <c r="F197" i="15" s="1"/>
  <c r="F11" i="15"/>
  <c r="F28" i="15"/>
  <c r="F7" i="15"/>
  <c r="J65" i="13"/>
  <c r="J72" i="13" s="1"/>
  <c r="L67" i="13"/>
  <c r="W68" i="13"/>
  <c r="F66" i="13"/>
  <c r="F63" i="13"/>
  <c r="E446" i="14"/>
  <c r="D446" i="14"/>
  <c r="D455" i="14" s="1"/>
  <c r="E427" i="14"/>
  <c r="D427" i="14"/>
  <c r="D436" i="14" s="1"/>
  <c r="E408" i="14"/>
  <c r="D408" i="14"/>
  <c r="D417" i="14" s="1"/>
  <c r="E389" i="14"/>
  <c r="D389" i="14"/>
  <c r="D398" i="14" s="1"/>
  <c r="E370" i="14"/>
  <c r="D370" i="14"/>
  <c r="D379" i="14" s="1"/>
  <c r="E351" i="14"/>
  <c r="D351" i="14"/>
  <c r="D360" i="14" s="1"/>
  <c r="E332" i="14"/>
  <c r="D332" i="14"/>
  <c r="D341" i="14" s="1"/>
  <c r="E312" i="14"/>
  <c r="D312" i="14"/>
  <c r="D321" i="14" s="1"/>
  <c r="E292" i="14"/>
  <c r="D292" i="14"/>
  <c r="D301" i="14" s="1"/>
  <c r="E273" i="14"/>
  <c r="D273" i="14"/>
  <c r="D282" i="14" s="1"/>
  <c r="E254" i="14"/>
  <c r="D254" i="14"/>
  <c r="D263" i="14" s="1"/>
  <c r="E235" i="14"/>
  <c r="D235" i="14"/>
  <c r="D244" i="14" s="1"/>
  <c r="E216" i="14"/>
  <c r="D216" i="14"/>
  <c r="D225" i="14" s="1"/>
  <c r="E197" i="14"/>
  <c r="D197" i="14"/>
  <c r="D206" i="14" s="1"/>
  <c r="E178" i="14"/>
  <c r="D178" i="14"/>
  <c r="D187" i="14" s="1"/>
  <c r="E159" i="14"/>
  <c r="D159" i="14"/>
  <c r="D168" i="14" s="1"/>
  <c r="E140" i="14"/>
  <c r="D140" i="14"/>
  <c r="D149" i="14" s="1"/>
  <c r="E121" i="14"/>
  <c r="D121" i="14"/>
  <c r="D130" i="14" s="1"/>
  <c r="E101" i="14"/>
  <c r="D101" i="14"/>
  <c r="D110" i="14" s="1"/>
  <c r="E81" i="14"/>
  <c r="D81" i="14"/>
  <c r="D90" i="14" s="1"/>
  <c r="E62" i="14"/>
  <c r="D62" i="14"/>
  <c r="D71" i="14" s="1"/>
  <c r="A33" i="7"/>
  <c r="Y25" i="7" s="1"/>
  <c r="Y31" i="7" s="1"/>
  <c r="A33" i="8"/>
  <c r="C20" i="8" s="1"/>
  <c r="A33" i="11"/>
  <c r="C20" i="11" s="1"/>
  <c r="V20" i="8"/>
  <c r="Z22" i="8"/>
  <c r="Z29" i="8" s="1"/>
  <c r="AB22" i="8"/>
  <c r="AB29" i="8" s="1"/>
  <c r="V23" i="8"/>
  <c r="Y24" i="8"/>
  <c r="Z24" i="8"/>
  <c r="AA24" i="8"/>
  <c r="U24" i="8"/>
  <c r="U23" i="8"/>
  <c r="U30" i="8" s="1"/>
  <c r="U22" i="8"/>
  <c r="U29" i="8" s="1"/>
  <c r="Q20" i="8"/>
  <c r="R20" i="8"/>
  <c r="S20" i="8"/>
  <c r="S28" i="8" s="1"/>
  <c r="S21" i="8"/>
  <c r="J22" i="8"/>
  <c r="J29" i="8" s="1"/>
  <c r="K22" i="8"/>
  <c r="K29" i="8" s="1"/>
  <c r="K23" i="8"/>
  <c r="L23" i="8"/>
  <c r="M23" i="8"/>
  <c r="M30" i="8" s="1"/>
  <c r="M24" i="8"/>
  <c r="N24" i="8"/>
  <c r="O24" i="8"/>
  <c r="O25" i="8"/>
  <c r="O31" i="8" s="1"/>
  <c r="P25" i="8"/>
  <c r="P31" i="8" s="1"/>
  <c r="Q25" i="8"/>
  <c r="Q31" i="8" s="1"/>
  <c r="E20" i="8"/>
  <c r="F20" i="8"/>
  <c r="G20" i="8"/>
  <c r="E23" i="8"/>
  <c r="F23" i="8"/>
  <c r="G23" i="8"/>
  <c r="C24" i="8"/>
  <c r="C23" i="8"/>
  <c r="C30" i="8" s="1"/>
  <c r="C22" i="8"/>
  <c r="C29" i="8" s="1"/>
  <c r="A33" i="10"/>
  <c r="A33" i="9"/>
  <c r="A33" i="6"/>
  <c r="A33" i="5"/>
  <c r="A33" i="4"/>
  <c r="D43" i="14"/>
  <c r="D52" i="14" s="1"/>
  <c r="D24" i="14"/>
  <c r="D33" i="14" s="1"/>
  <c r="A33" i="3"/>
  <c r="D7" i="14"/>
  <c r="E43" i="14"/>
  <c r="E24" i="14"/>
  <c r="A33" i="2"/>
  <c r="C20" i="2" s="1"/>
  <c r="A33" i="1"/>
  <c r="K20" i="3" l="1"/>
  <c r="Q20" i="3"/>
  <c r="Q28" i="3" s="1"/>
  <c r="E21" i="3"/>
  <c r="R21" i="3"/>
  <c r="F22" i="3"/>
  <c r="F29" i="3" s="1"/>
  <c r="S22" i="3"/>
  <c r="S29" i="3" s="1"/>
  <c r="G23" i="3"/>
  <c r="G30" i="3" s="1"/>
  <c r="U23" i="3"/>
  <c r="U30" i="3" s="1"/>
  <c r="I24" i="3"/>
  <c r="V24" i="3"/>
  <c r="J25" i="3"/>
  <c r="J31" i="3" s="1"/>
  <c r="W25" i="3"/>
  <c r="W31" i="3" s="1"/>
  <c r="E20" i="3"/>
  <c r="E28" i="3" s="1"/>
  <c r="S20" i="3"/>
  <c r="S28" i="3" s="1"/>
  <c r="G21" i="3"/>
  <c r="U21" i="3"/>
  <c r="I22" i="3"/>
  <c r="I29" i="3" s="1"/>
  <c r="V22" i="3"/>
  <c r="V29" i="3" s="1"/>
  <c r="J23" i="3"/>
  <c r="J30" i="3" s="1"/>
  <c r="W23" i="3"/>
  <c r="W30" i="3" s="1"/>
  <c r="K24" i="3"/>
  <c r="X24" i="3"/>
  <c r="L25" i="3"/>
  <c r="L31" i="3" s="1"/>
  <c r="Y25" i="3"/>
  <c r="Y31" i="3" s="1"/>
  <c r="M20" i="3"/>
  <c r="Z20" i="3"/>
  <c r="N21" i="3"/>
  <c r="AA21" i="3"/>
  <c r="O22" i="3"/>
  <c r="O29" i="3" s="1"/>
  <c r="AB22" i="3"/>
  <c r="AB29" i="3" s="1"/>
  <c r="P23" i="3"/>
  <c r="P30" i="3" s="1"/>
  <c r="D24" i="3"/>
  <c r="Q24" i="3"/>
  <c r="E25" i="3"/>
  <c r="E31" i="3" s="1"/>
  <c r="R25" i="3"/>
  <c r="R31" i="3" s="1"/>
  <c r="C23" i="3"/>
  <c r="G20" i="3"/>
  <c r="G28" i="3" s="1"/>
  <c r="Y20" i="3"/>
  <c r="Y28" i="3" s="1"/>
  <c r="Q21" i="3"/>
  <c r="K22" i="3"/>
  <c r="K29" i="3" s="1"/>
  <c r="AA22" i="3"/>
  <c r="AA29" i="3" s="1"/>
  <c r="S23" i="3"/>
  <c r="M24" i="3"/>
  <c r="D25" i="3"/>
  <c r="D31" i="3" s="1"/>
  <c r="V25" i="3"/>
  <c r="V31" i="3" s="1"/>
  <c r="AA20" i="3"/>
  <c r="S21" i="3"/>
  <c r="L22" i="3"/>
  <c r="L29" i="3" s="1"/>
  <c r="D23" i="3"/>
  <c r="N24" i="3"/>
  <c r="F25" i="3"/>
  <c r="F31" i="3" s="1"/>
  <c r="I20" i="3"/>
  <c r="I28" i="3" s="1"/>
  <c r="V23" i="3"/>
  <c r="X25" i="3"/>
  <c r="X31" i="3" s="1"/>
  <c r="J20" i="3"/>
  <c r="J28" i="3" s="1"/>
  <c r="AB20" i="3"/>
  <c r="AB28" i="3" s="1"/>
  <c r="V21" i="3"/>
  <c r="M22" i="3"/>
  <c r="M29" i="3" s="1"/>
  <c r="E23" i="3"/>
  <c r="X23" i="3"/>
  <c r="O24" i="3"/>
  <c r="G25" i="3"/>
  <c r="G31" i="3" s="1"/>
  <c r="Z25" i="3"/>
  <c r="Z31" i="3" s="1"/>
  <c r="N20" i="3"/>
  <c r="N28" i="3" s="1"/>
  <c r="F21" i="3"/>
  <c r="X21" i="3"/>
  <c r="P22" i="3"/>
  <c r="P29" i="3" s="1"/>
  <c r="I23" i="3"/>
  <c r="I30" i="3" s="1"/>
  <c r="I32" i="3" s="1"/>
  <c r="Z23" i="3"/>
  <c r="Z30" i="3" s="1"/>
  <c r="R24" i="3"/>
  <c r="K25" i="3"/>
  <c r="K31" i="3" s="1"/>
  <c r="AB25" i="3"/>
  <c r="AB31" i="3" s="1"/>
  <c r="O20" i="3"/>
  <c r="I21" i="3"/>
  <c r="Y21" i="3"/>
  <c r="Q22" i="3"/>
  <c r="Q29" i="3" s="1"/>
  <c r="K23" i="3"/>
  <c r="AA23" i="3"/>
  <c r="AA30" i="3" s="1"/>
  <c r="S24" i="3"/>
  <c r="M25" i="3"/>
  <c r="M31" i="3" s="1"/>
  <c r="C25" i="3"/>
  <c r="C31" i="3" s="1"/>
  <c r="U20" i="3"/>
  <c r="L21" i="3"/>
  <c r="D22" i="3"/>
  <c r="D29" i="3" s="1"/>
  <c r="W22" i="3"/>
  <c r="W29" i="3" s="1"/>
  <c r="N23" i="3"/>
  <c r="N30" i="3" s="1"/>
  <c r="F24" i="3"/>
  <c r="Y24" i="3"/>
  <c r="P25" i="3"/>
  <c r="P31" i="3" s="1"/>
  <c r="C21" i="3"/>
  <c r="V20" i="3"/>
  <c r="V28" i="3" s="1"/>
  <c r="M21" i="3"/>
  <c r="E22" i="3"/>
  <c r="E29" i="3" s="1"/>
  <c r="X22" i="3"/>
  <c r="X29" i="3" s="1"/>
  <c r="O23" i="3"/>
  <c r="G24" i="3"/>
  <c r="Z24" i="3"/>
  <c r="Q25" i="3"/>
  <c r="Q31" i="3" s="1"/>
  <c r="C20" i="3"/>
  <c r="D20" i="3"/>
  <c r="W20" i="3"/>
  <c r="W28" i="3" s="1"/>
  <c r="O21" i="3"/>
  <c r="Z21" i="3"/>
  <c r="Q23" i="3"/>
  <c r="Q30" i="3" s="1"/>
  <c r="Q32" i="3" s="1"/>
  <c r="I25" i="3"/>
  <c r="I31" i="3" s="1"/>
  <c r="R23" i="3"/>
  <c r="R30" i="3" s="1"/>
  <c r="N25" i="3"/>
  <c r="N31" i="3" s="1"/>
  <c r="O25" i="3"/>
  <c r="O31" i="3" s="1"/>
  <c r="AB21" i="3"/>
  <c r="Y23" i="3"/>
  <c r="L20" i="3"/>
  <c r="L28" i="3" s="1"/>
  <c r="J22" i="3"/>
  <c r="J29" i="3" s="1"/>
  <c r="AB23" i="3"/>
  <c r="AB30" i="3" s="1"/>
  <c r="S25" i="3"/>
  <c r="S31" i="3" s="1"/>
  <c r="P20" i="3"/>
  <c r="P28" i="3" s="1"/>
  <c r="N22" i="3"/>
  <c r="N29" i="3" s="1"/>
  <c r="N32" i="3" s="1"/>
  <c r="E24" i="3"/>
  <c r="U25" i="3"/>
  <c r="U31" i="3" s="1"/>
  <c r="Z22" i="3"/>
  <c r="Z29" i="3" s="1"/>
  <c r="U24" i="3"/>
  <c r="W21" i="3"/>
  <c r="AB24" i="3"/>
  <c r="R20" i="3"/>
  <c r="R22" i="3"/>
  <c r="R29" i="3" s="1"/>
  <c r="J24" i="3"/>
  <c r="AA25" i="3"/>
  <c r="AA31" i="3" s="1"/>
  <c r="X20" i="3"/>
  <c r="X28" i="3" s="1"/>
  <c r="U22" i="3"/>
  <c r="U29" i="3" s="1"/>
  <c r="L24" i="3"/>
  <c r="C24" i="3"/>
  <c r="K21" i="3"/>
  <c r="F23" i="3"/>
  <c r="F30" i="3" s="1"/>
  <c r="W24" i="3"/>
  <c r="P21" i="3"/>
  <c r="L23" i="3"/>
  <c r="AA24" i="3"/>
  <c r="M23" i="3"/>
  <c r="F20" i="3"/>
  <c r="F28" i="3" s="1"/>
  <c r="G22" i="3"/>
  <c r="G29" i="3" s="1"/>
  <c r="D21" i="3"/>
  <c r="Y22" i="3"/>
  <c r="Y29" i="3" s="1"/>
  <c r="P24" i="3"/>
  <c r="C22" i="3"/>
  <c r="C29" i="3" s="1"/>
  <c r="J21" i="3"/>
  <c r="C25" i="8"/>
  <c r="C31" i="8" s="1"/>
  <c r="D23" i="8"/>
  <c r="D20" i="8"/>
  <c r="N25" i="8"/>
  <c r="N31" i="8" s="1"/>
  <c r="L24" i="8"/>
  <c r="J23" i="8"/>
  <c r="J30" i="8" s="1"/>
  <c r="R21" i="8"/>
  <c r="R28" i="8" s="1"/>
  <c r="R32" i="8" s="1"/>
  <c r="P20" i="8"/>
  <c r="P28" i="8" s="1"/>
  <c r="P32" i="8" s="1"/>
  <c r="U25" i="8"/>
  <c r="U31" i="8" s="1"/>
  <c r="X24" i="8"/>
  <c r="Y22" i="8"/>
  <c r="Y29" i="8" s="1"/>
  <c r="F67" i="15"/>
  <c r="E99" i="12"/>
  <c r="E103" i="12" s="1"/>
  <c r="F136" i="13"/>
  <c r="T138" i="13"/>
  <c r="I21" i="8"/>
  <c r="P140" i="13"/>
  <c r="F149" i="15"/>
  <c r="M138" i="13"/>
  <c r="M140" i="13" s="1"/>
  <c r="N138" i="13"/>
  <c r="Q28" i="8"/>
  <c r="Q32" i="8" s="1"/>
  <c r="K24" i="8"/>
  <c r="F36" i="15"/>
  <c r="F25" i="8"/>
  <c r="F31" i="8" s="1"/>
  <c r="L25" i="8"/>
  <c r="L31" i="8" s="1"/>
  <c r="J24" i="8"/>
  <c r="R22" i="8"/>
  <c r="R29" i="8" s="1"/>
  <c r="P21" i="8"/>
  <c r="N20" i="8"/>
  <c r="AA25" i="8"/>
  <c r="AA31" i="8" s="1"/>
  <c r="V24" i="8"/>
  <c r="V30" i="8" s="1"/>
  <c r="AB21" i="8"/>
  <c r="F270" i="15"/>
  <c r="F276" i="15" s="1"/>
  <c r="T136" i="13"/>
  <c r="T140" i="13" s="1"/>
  <c r="Q140" i="13"/>
  <c r="F166" i="15"/>
  <c r="N136" i="13"/>
  <c r="N140" i="13" s="1"/>
  <c r="F140" i="13"/>
  <c r="O136" i="13"/>
  <c r="O140" i="13" s="1"/>
  <c r="V138" i="13"/>
  <c r="E351" i="15"/>
  <c r="E357" i="15" s="1"/>
  <c r="W74" i="13"/>
  <c r="L140" i="13"/>
  <c r="F22" i="8"/>
  <c r="F29" i="8" s="1"/>
  <c r="F209" i="15"/>
  <c r="F216" i="15" s="1"/>
  <c r="E25" i="8"/>
  <c r="E31" i="8" s="1"/>
  <c r="E22" i="8"/>
  <c r="E29" i="8" s="1"/>
  <c r="I22" i="8"/>
  <c r="I29" i="8" s="1"/>
  <c r="K25" i="8"/>
  <c r="K31" i="8" s="1"/>
  <c r="S23" i="8"/>
  <c r="Q22" i="8"/>
  <c r="Q29" i="8" s="1"/>
  <c r="O21" i="8"/>
  <c r="M20" i="8"/>
  <c r="Z25" i="8"/>
  <c r="Z31" i="8" s="1"/>
  <c r="AB23" i="8"/>
  <c r="AA21" i="8"/>
  <c r="D25" i="8"/>
  <c r="D31" i="8" s="1"/>
  <c r="D22" i="8"/>
  <c r="D29" i="8" s="1"/>
  <c r="I23" i="8"/>
  <c r="J25" i="8"/>
  <c r="J31" i="8" s="1"/>
  <c r="R23" i="8"/>
  <c r="R30" i="8" s="1"/>
  <c r="P22" i="8"/>
  <c r="P29" i="8" s="1"/>
  <c r="N21" i="8"/>
  <c r="L20" i="8"/>
  <c r="Y25" i="8"/>
  <c r="Y31" i="8" s="1"/>
  <c r="AA23" i="8"/>
  <c r="AA30" i="8" s="1"/>
  <c r="X21" i="8"/>
  <c r="X140" i="13"/>
  <c r="U138" i="13"/>
  <c r="U140" i="13" s="1"/>
  <c r="S138" i="13"/>
  <c r="I24" i="8"/>
  <c r="G138" i="13"/>
  <c r="G25" i="8"/>
  <c r="G31" i="8" s="1"/>
  <c r="M25" i="8"/>
  <c r="M31" i="8" s="1"/>
  <c r="S22" i="8"/>
  <c r="S29" i="8" s="1"/>
  <c r="Q21" i="8"/>
  <c r="O20" i="8"/>
  <c r="O28" i="8" s="1"/>
  <c r="X22" i="8"/>
  <c r="X29" i="8" s="1"/>
  <c r="O22" i="8"/>
  <c r="O29" i="8" s="1"/>
  <c r="Y136" i="13"/>
  <c r="Y140" i="13" s="1"/>
  <c r="F21" i="8"/>
  <c r="F28" i="8" s="1"/>
  <c r="F32" i="8" s="1"/>
  <c r="N22" i="8"/>
  <c r="N29" i="8" s="1"/>
  <c r="Y23" i="8"/>
  <c r="Y30" i="8" s="1"/>
  <c r="F103" i="12"/>
  <c r="O138" i="13"/>
  <c r="D16" i="14"/>
  <c r="C16" i="14"/>
  <c r="I20" i="8"/>
  <c r="I28" i="8" s="1"/>
  <c r="AB25" i="8"/>
  <c r="AB31" i="8" s="1"/>
  <c r="I140" i="13"/>
  <c r="G21" i="8"/>
  <c r="G28" i="8" s="1"/>
  <c r="K20" i="8"/>
  <c r="K28" i="8" s="1"/>
  <c r="K32" i="8" s="1"/>
  <c r="S136" i="13"/>
  <c r="A20" i="14"/>
  <c r="D20" i="1"/>
  <c r="Q20" i="1"/>
  <c r="E21" i="1"/>
  <c r="R21" i="1"/>
  <c r="F22" i="1"/>
  <c r="F29" i="1" s="1"/>
  <c r="S22" i="1"/>
  <c r="S29" i="1" s="1"/>
  <c r="G23" i="1"/>
  <c r="U23" i="1"/>
  <c r="U30" i="1" s="1"/>
  <c r="I24" i="1"/>
  <c r="V24" i="1"/>
  <c r="J25" i="1"/>
  <c r="J31" i="1" s="1"/>
  <c r="W25" i="1"/>
  <c r="W31" i="1" s="1"/>
  <c r="F20" i="1"/>
  <c r="S20" i="1"/>
  <c r="G21" i="1"/>
  <c r="U21" i="1"/>
  <c r="I22" i="1"/>
  <c r="I29" i="1" s="1"/>
  <c r="V22" i="1"/>
  <c r="V29" i="1" s="1"/>
  <c r="J23" i="1"/>
  <c r="W23" i="1"/>
  <c r="W30" i="1" s="1"/>
  <c r="K24" i="1"/>
  <c r="X24" i="1"/>
  <c r="L25" i="1"/>
  <c r="L31" i="1" s="1"/>
  <c r="Y25" i="1"/>
  <c r="Y31" i="1" s="1"/>
  <c r="M20" i="1"/>
  <c r="Z20" i="1"/>
  <c r="N21" i="1"/>
  <c r="AA21" i="1"/>
  <c r="O22" i="1"/>
  <c r="O29" i="1" s="1"/>
  <c r="AB22" i="1"/>
  <c r="AB29" i="1" s="1"/>
  <c r="P23" i="1"/>
  <c r="D24" i="1"/>
  <c r="Q24" i="1"/>
  <c r="E25" i="1"/>
  <c r="E31" i="1" s="1"/>
  <c r="R25" i="1"/>
  <c r="R31" i="1" s="1"/>
  <c r="C23" i="1"/>
  <c r="C30" i="1" s="1"/>
  <c r="I20" i="1"/>
  <c r="Y20" i="1"/>
  <c r="Q21" i="1"/>
  <c r="K22" i="1"/>
  <c r="K29" i="1" s="1"/>
  <c r="AA22" i="1"/>
  <c r="AA29" i="1" s="1"/>
  <c r="S23" i="1"/>
  <c r="S30" i="1" s="1"/>
  <c r="M24" i="1"/>
  <c r="D25" i="1"/>
  <c r="D31" i="1" s="1"/>
  <c r="V25" i="1"/>
  <c r="V31" i="1" s="1"/>
  <c r="J20" i="1"/>
  <c r="J28" i="1" s="1"/>
  <c r="S21" i="1"/>
  <c r="L22" i="1"/>
  <c r="L29" i="1" s="1"/>
  <c r="V23" i="1"/>
  <c r="N24" i="1"/>
  <c r="X25" i="1"/>
  <c r="X31" i="1" s="1"/>
  <c r="AA20" i="1"/>
  <c r="AA28" i="1" s="1"/>
  <c r="D23" i="1"/>
  <c r="F25" i="1"/>
  <c r="F31" i="1" s="1"/>
  <c r="K20" i="1"/>
  <c r="K28" i="1" s="1"/>
  <c r="AB20" i="1"/>
  <c r="AB28" i="1" s="1"/>
  <c r="V21" i="1"/>
  <c r="M22" i="1"/>
  <c r="M29" i="1" s="1"/>
  <c r="E23" i="1"/>
  <c r="E30" i="1" s="1"/>
  <c r="X23" i="1"/>
  <c r="O24" i="1"/>
  <c r="G25" i="1"/>
  <c r="G31" i="1" s="1"/>
  <c r="Z25" i="1"/>
  <c r="Z31" i="1" s="1"/>
  <c r="N20" i="1"/>
  <c r="N28" i="1" s="1"/>
  <c r="F21" i="1"/>
  <c r="X21" i="1"/>
  <c r="P22" i="1"/>
  <c r="P29" i="1" s="1"/>
  <c r="I23" i="1"/>
  <c r="Z23" i="1"/>
  <c r="Z30" i="1" s="1"/>
  <c r="R24" i="1"/>
  <c r="K25" i="1"/>
  <c r="K31" i="1" s="1"/>
  <c r="AB25" i="1"/>
  <c r="AB31" i="1" s="1"/>
  <c r="O20" i="1"/>
  <c r="I21" i="1"/>
  <c r="Y21" i="1"/>
  <c r="Q22" i="1"/>
  <c r="Q29" i="1" s="1"/>
  <c r="K23" i="1"/>
  <c r="AA23" i="1"/>
  <c r="S24" i="1"/>
  <c r="M25" i="1"/>
  <c r="M31" i="1" s="1"/>
  <c r="C25" i="1"/>
  <c r="C31" i="1" s="1"/>
  <c r="U20" i="1"/>
  <c r="U28" i="1" s="1"/>
  <c r="L21" i="1"/>
  <c r="D22" i="1"/>
  <c r="D29" i="1" s="1"/>
  <c r="W22" i="1"/>
  <c r="W29" i="1" s="1"/>
  <c r="N23" i="1"/>
  <c r="N30" i="1" s="1"/>
  <c r="F24" i="1"/>
  <c r="Y24" i="1"/>
  <c r="P25" i="1"/>
  <c r="P31" i="1" s="1"/>
  <c r="C21" i="1"/>
  <c r="V20" i="1"/>
  <c r="M21" i="1"/>
  <c r="E22" i="1"/>
  <c r="E29" i="1" s="1"/>
  <c r="X22" i="1"/>
  <c r="X29" i="1" s="1"/>
  <c r="O23" i="1"/>
  <c r="O30" i="1" s="1"/>
  <c r="G24" i="1"/>
  <c r="Z24" i="1"/>
  <c r="Q25" i="1"/>
  <c r="Q31" i="1" s="1"/>
  <c r="C20" i="1"/>
  <c r="R20" i="1"/>
  <c r="R28" i="1" s="1"/>
  <c r="J22" i="1"/>
  <c r="J29" i="1" s="1"/>
  <c r="AB23" i="1"/>
  <c r="AB30" i="1" s="1"/>
  <c r="S25" i="1"/>
  <c r="S31" i="1" s="1"/>
  <c r="N22" i="1"/>
  <c r="N29" i="1" s="1"/>
  <c r="N32" i="1" s="1"/>
  <c r="U25" i="1"/>
  <c r="U31" i="1" s="1"/>
  <c r="J24" i="1"/>
  <c r="W20" i="1"/>
  <c r="E24" i="1"/>
  <c r="D21" i="1"/>
  <c r="U22" i="1"/>
  <c r="U29" i="1" s="1"/>
  <c r="L24" i="1"/>
  <c r="C24" i="1"/>
  <c r="J21" i="1"/>
  <c r="Y22" i="1"/>
  <c r="Y29" i="1" s="1"/>
  <c r="P24" i="1"/>
  <c r="C22" i="1"/>
  <c r="C29" i="1" s="1"/>
  <c r="E20" i="1"/>
  <c r="E28" i="1" s="1"/>
  <c r="W21" i="1"/>
  <c r="AB24" i="1"/>
  <c r="G20" i="1"/>
  <c r="G28" i="1" s="1"/>
  <c r="AB21" i="1"/>
  <c r="G22" i="1"/>
  <c r="G29" i="1" s="1"/>
  <c r="O25" i="1"/>
  <c r="O31" i="1" s="1"/>
  <c r="X20" i="1"/>
  <c r="K21" i="1"/>
  <c r="Z22" i="1"/>
  <c r="Z29" i="1" s="1"/>
  <c r="U24" i="1"/>
  <c r="I25" i="1"/>
  <c r="I31" i="1" s="1"/>
  <c r="O21" i="1"/>
  <c r="F23" i="1"/>
  <c r="F30" i="1" s="1"/>
  <c r="W24" i="1"/>
  <c r="Q23" i="1"/>
  <c r="L20" i="1"/>
  <c r="R23" i="1"/>
  <c r="N25" i="1"/>
  <c r="N31" i="1" s="1"/>
  <c r="P20" i="1"/>
  <c r="Y23" i="1"/>
  <c r="R22" i="1"/>
  <c r="R29" i="1" s="1"/>
  <c r="AA25" i="1"/>
  <c r="AA31" i="1" s="1"/>
  <c r="P21" i="1"/>
  <c r="L23" i="1"/>
  <c r="L30" i="1" s="1"/>
  <c r="AA24" i="1"/>
  <c r="AA26" i="1" s="1"/>
  <c r="M23" i="1"/>
  <c r="M30" i="1" s="1"/>
  <c r="Z21" i="1"/>
  <c r="K20" i="10"/>
  <c r="X20" i="10"/>
  <c r="L21" i="10"/>
  <c r="Y21" i="10"/>
  <c r="M22" i="10"/>
  <c r="M29" i="10" s="1"/>
  <c r="Z22" i="10"/>
  <c r="Z29" i="10" s="1"/>
  <c r="N23" i="10"/>
  <c r="AA23" i="10"/>
  <c r="AA30" i="10" s="1"/>
  <c r="O24" i="10"/>
  <c r="AB24" i="10"/>
  <c r="P25" i="10"/>
  <c r="P31" i="10" s="1"/>
  <c r="C25" i="10"/>
  <c r="C31" i="10" s="1"/>
  <c r="Q20" i="10"/>
  <c r="F21" i="10"/>
  <c r="U21" i="10"/>
  <c r="J22" i="10"/>
  <c r="J29" i="10" s="1"/>
  <c r="X22" i="10"/>
  <c r="X29" i="10" s="1"/>
  <c r="M23" i="10"/>
  <c r="M30" i="10" s="1"/>
  <c r="AB23" i="10"/>
  <c r="Q24" i="10"/>
  <c r="F25" i="10"/>
  <c r="F31" i="10" s="1"/>
  <c r="U25" i="10"/>
  <c r="U31" i="10" s="1"/>
  <c r="C20" i="10"/>
  <c r="C28" i="10" s="1"/>
  <c r="E20" i="10"/>
  <c r="S20" i="10"/>
  <c r="I21" i="10"/>
  <c r="W21" i="10"/>
  <c r="L22" i="10"/>
  <c r="L29" i="10" s="1"/>
  <c r="AA22" i="10"/>
  <c r="AA29" i="10" s="1"/>
  <c r="P23" i="10"/>
  <c r="E24" i="10"/>
  <c r="S24" i="10"/>
  <c r="I25" i="10"/>
  <c r="I31" i="10" s="1"/>
  <c r="W25" i="10"/>
  <c r="W31" i="10" s="1"/>
  <c r="M20" i="10"/>
  <c r="M28" i="10" s="1"/>
  <c r="AA20" i="10"/>
  <c r="AA28" i="10" s="1"/>
  <c r="P21" i="10"/>
  <c r="E22" i="10"/>
  <c r="E29" i="10" s="1"/>
  <c r="S22" i="10"/>
  <c r="S29" i="10" s="1"/>
  <c r="I23" i="10"/>
  <c r="W23" i="10"/>
  <c r="L24" i="10"/>
  <c r="Z24" i="10"/>
  <c r="O25" i="10"/>
  <c r="O31" i="10" s="1"/>
  <c r="C24" i="10"/>
  <c r="N20" i="10"/>
  <c r="N28" i="10" s="1"/>
  <c r="AB20" i="10"/>
  <c r="Q21" i="10"/>
  <c r="F22" i="10"/>
  <c r="F29" i="10" s="1"/>
  <c r="U22" i="10"/>
  <c r="U29" i="10" s="1"/>
  <c r="J23" i="10"/>
  <c r="X23" i="10"/>
  <c r="M24" i="10"/>
  <c r="AA24" i="10"/>
  <c r="Q25" i="10"/>
  <c r="Q31" i="10" s="1"/>
  <c r="C23" i="10"/>
  <c r="U20" i="10"/>
  <c r="U28" i="10" s="1"/>
  <c r="O21" i="10"/>
  <c r="N22" i="10"/>
  <c r="N29" i="10" s="1"/>
  <c r="G23" i="10"/>
  <c r="G30" i="10" s="1"/>
  <c r="F24" i="10"/>
  <c r="Y24" i="10"/>
  <c r="X25" i="10"/>
  <c r="X31" i="10" s="1"/>
  <c r="V20" i="10"/>
  <c r="R21" i="10"/>
  <c r="O22" i="10"/>
  <c r="O29" i="10" s="1"/>
  <c r="G24" i="10"/>
  <c r="D25" i="10"/>
  <c r="D31" i="10" s="1"/>
  <c r="Y25" i="10"/>
  <c r="Y31" i="10" s="1"/>
  <c r="K23" i="10"/>
  <c r="K30" i="10" s="1"/>
  <c r="W20" i="10"/>
  <c r="W28" i="10" s="1"/>
  <c r="S21" i="10"/>
  <c r="P22" i="10"/>
  <c r="P29" i="10" s="1"/>
  <c r="L23" i="10"/>
  <c r="I24" i="10"/>
  <c r="E25" i="10"/>
  <c r="E31" i="10" s="1"/>
  <c r="Z25" i="10"/>
  <c r="Z31" i="10" s="1"/>
  <c r="D20" i="10"/>
  <c r="Y20" i="10"/>
  <c r="Y28" i="10" s="1"/>
  <c r="Q22" i="10"/>
  <c r="Q29" i="10" s="1"/>
  <c r="O23" i="10"/>
  <c r="O30" i="10" s="1"/>
  <c r="J24" i="10"/>
  <c r="G25" i="10"/>
  <c r="G31" i="10" s="1"/>
  <c r="AA25" i="10"/>
  <c r="AA31" i="10" s="1"/>
  <c r="F20" i="10"/>
  <c r="Z20" i="10"/>
  <c r="X21" i="10"/>
  <c r="R22" i="10"/>
  <c r="R29" i="10" s="1"/>
  <c r="Q23" i="10"/>
  <c r="K24" i="10"/>
  <c r="J25" i="10"/>
  <c r="J31" i="10" s="1"/>
  <c r="AB25" i="10"/>
  <c r="AB31" i="10" s="1"/>
  <c r="G20" i="10"/>
  <c r="G28" i="10" s="1"/>
  <c r="D21" i="10"/>
  <c r="Z21" i="10"/>
  <c r="V22" i="10"/>
  <c r="V29" i="10" s="1"/>
  <c r="R23" i="10"/>
  <c r="N24" i="10"/>
  <c r="K25" i="10"/>
  <c r="K31" i="10" s="1"/>
  <c r="C22" i="10"/>
  <c r="C29" i="10" s="1"/>
  <c r="I20" i="10"/>
  <c r="E21" i="10"/>
  <c r="AA21" i="10"/>
  <c r="W22" i="10"/>
  <c r="W29" i="10" s="1"/>
  <c r="S23" i="10"/>
  <c r="S30" i="10" s="1"/>
  <c r="P24" i="10"/>
  <c r="L25" i="10"/>
  <c r="L31" i="10" s="1"/>
  <c r="C21" i="10"/>
  <c r="L20" i="10"/>
  <c r="J21" i="10"/>
  <c r="D22" i="10"/>
  <c r="D29" i="10" s="1"/>
  <c r="AB22" i="10"/>
  <c r="AB29" i="10" s="1"/>
  <c r="V23" i="10"/>
  <c r="V30" i="10" s="1"/>
  <c r="U24" i="10"/>
  <c r="N25" i="10"/>
  <c r="N31" i="10" s="1"/>
  <c r="O20" i="10"/>
  <c r="K21" i="10"/>
  <c r="G22" i="10"/>
  <c r="G29" i="10" s="1"/>
  <c r="D23" i="10"/>
  <c r="D30" i="10" s="1"/>
  <c r="Y23" i="10"/>
  <c r="Y30" i="10" s="1"/>
  <c r="V24" i="10"/>
  <c r="R25" i="10"/>
  <c r="R31" i="10" s="1"/>
  <c r="P20" i="10"/>
  <c r="P28" i="10" s="1"/>
  <c r="M21" i="10"/>
  <c r="I22" i="10"/>
  <c r="I29" i="10" s="1"/>
  <c r="E23" i="10"/>
  <c r="E30" i="10" s="1"/>
  <c r="Z23" i="10"/>
  <c r="Z30" i="10" s="1"/>
  <c r="W24" i="10"/>
  <c r="S25" i="10"/>
  <c r="S31" i="10" s="1"/>
  <c r="AB21" i="10"/>
  <c r="K22" i="10"/>
  <c r="K29" i="10" s="1"/>
  <c r="F23" i="10"/>
  <c r="F30" i="10" s="1"/>
  <c r="U23" i="10"/>
  <c r="M25" i="10"/>
  <c r="M31" i="10" s="1"/>
  <c r="V21" i="10"/>
  <c r="Y22" i="10"/>
  <c r="Y29" i="10" s="1"/>
  <c r="D24" i="10"/>
  <c r="G21" i="10"/>
  <c r="R24" i="10"/>
  <c r="V25" i="10"/>
  <c r="V31" i="10" s="1"/>
  <c r="N21" i="10"/>
  <c r="J20" i="10"/>
  <c r="J28" i="10" s="1"/>
  <c r="X24" i="10"/>
  <c r="R20" i="10"/>
  <c r="R28" i="10" s="1"/>
  <c r="E24" i="8"/>
  <c r="E30" i="8" s="1"/>
  <c r="E21" i="8"/>
  <c r="E28" i="8" s="1"/>
  <c r="E32" i="8" s="1"/>
  <c r="S25" i="8"/>
  <c r="S31" i="8" s="1"/>
  <c r="Q24" i="8"/>
  <c r="O23" i="8"/>
  <c r="O30" i="8" s="1"/>
  <c r="M22" i="8"/>
  <c r="M29" i="8" s="1"/>
  <c r="K21" i="8"/>
  <c r="U20" i="8"/>
  <c r="U28" i="8" s="1"/>
  <c r="U32" i="8" s="1"/>
  <c r="V25" i="8"/>
  <c r="V31" i="8" s="1"/>
  <c r="X23" i="8"/>
  <c r="X30" i="8" s="1"/>
  <c r="Z20" i="8"/>
  <c r="K99" i="12"/>
  <c r="K103" i="12" s="1"/>
  <c r="J138" i="13"/>
  <c r="J140" i="13" s="1"/>
  <c r="W138" i="13"/>
  <c r="W140" i="13" s="1"/>
  <c r="L30" i="8"/>
  <c r="K30" i="8"/>
  <c r="G22" i="8"/>
  <c r="G29" i="8" s="1"/>
  <c r="W24" i="8"/>
  <c r="G24" i="8"/>
  <c r="G30" i="8" s="1"/>
  <c r="S24" i="8"/>
  <c r="Q23" i="8"/>
  <c r="Q30" i="8" s="1"/>
  <c r="M21" i="8"/>
  <c r="X25" i="8"/>
  <c r="X31" i="8" s="1"/>
  <c r="Z23" i="8"/>
  <c r="Z30" i="8" s="1"/>
  <c r="W21" i="8"/>
  <c r="V136" i="13"/>
  <c r="V140" i="13" s="1"/>
  <c r="K20" i="9"/>
  <c r="K28" i="9" s="1"/>
  <c r="X20" i="9"/>
  <c r="L21" i="9"/>
  <c r="Y21" i="9"/>
  <c r="M22" i="9"/>
  <c r="M29" i="9" s="1"/>
  <c r="Z22" i="9"/>
  <c r="Z29" i="9" s="1"/>
  <c r="N23" i="9"/>
  <c r="AA23" i="9"/>
  <c r="O24" i="9"/>
  <c r="AB24" i="9"/>
  <c r="P25" i="9"/>
  <c r="P31" i="9" s="1"/>
  <c r="C25" i="9"/>
  <c r="C31" i="9" s="1"/>
  <c r="Q20" i="9"/>
  <c r="F21" i="9"/>
  <c r="U21" i="9"/>
  <c r="J22" i="9"/>
  <c r="J29" i="9" s="1"/>
  <c r="X22" i="9"/>
  <c r="X29" i="9" s="1"/>
  <c r="M23" i="9"/>
  <c r="AB23" i="9"/>
  <c r="AB30" i="9" s="1"/>
  <c r="Q24" i="9"/>
  <c r="F25" i="9"/>
  <c r="F31" i="9" s="1"/>
  <c r="U25" i="9"/>
  <c r="U31" i="9" s="1"/>
  <c r="C20" i="9"/>
  <c r="C28" i="9" s="1"/>
  <c r="E20" i="9"/>
  <c r="S20" i="9"/>
  <c r="S28" i="9" s="1"/>
  <c r="I21" i="9"/>
  <c r="W21" i="9"/>
  <c r="L22" i="9"/>
  <c r="L29" i="9" s="1"/>
  <c r="AA22" i="9"/>
  <c r="AA29" i="9" s="1"/>
  <c r="P23" i="9"/>
  <c r="P30" i="9" s="1"/>
  <c r="E24" i="9"/>
  <c r="S24" i="9"/>
  <c r="I25" i="9"/>
  <c r="I31" i="9" s="1"/>
  <c r="W25" i="9"/>
  <c r="W31" i="9" s="1"/>
  <c r="M20" i="9"/>
  <c r="AA20" i="9"/>
  <c r="AA28" i="9" s="1"/>
  <c r="P21" i="9"/>
  <c r="E22" i="9"/>
  <c r="E29" i="9" s="1"/>
  <c r="S22" i="9"/>
  <c r="S29" i="9" s="1"/>
  <c r="I23" i="9"/>
  <c r="I30" i="9" s="1"/>
  <c r="W23" i="9"/>
  <c r="W30" i="9" s="1"/>
  <c r="L24" i="9"/>
  <c r="Z24" i="9"/>
  <c r="O25" i="9"/>
  <c r="O31" i="9" s="1"/>
  <c r="C24" i="9"/>
  <c r="L20" i="9"/>
  <c r="E21" i="9"/>
  <c r="Z21" i="9"/>
  <c r="R22" i="9"/>
  <c r="R29" i="9" s="1"/>
  <c r="L23" i="9"/>
  <c r="G24" i="9"/>
  <c r="Y24" i="9"/>
  <c r="S25" i="9"/>
  <c r="S31" i="9" s="1"/>
  <c r="N20" i="9"/>
  <c r="N28" i="9" s="1"/>
  <c r="G21" i="9"/>
  <c r="AA21" i="9"/>
  <c r="O23" i="9"/>
  <c r="O30" i="9" s="1"/>
  <c r="I24" i="9"/>
  <c r="AA24" i="9"/>
  <c r="V25" i="9"/>
  <c r="V31" i="9" s="1"/>
  <c r="U22" i="9"/>
  <c r="U29" i="9" s="1"/>
  <c r="O20" i="9"/>
  <c r="J21" i="9"/>
  <c r="AB21" i="9"/>
  <c r="V22" i="9"/>
  <c r="V29" i="9" s="1"/>
  <c r="Q23" i="9"/>
  <c r="Q30" i="9" s="1"/>
  <c r="J24" i="9"/>
  <c r="D25" i="9"/>
  <c r="D31" i="9" s="1"/>
  <c r="X25" i="9"/>
  <c r="X31" i="9" s="1"/>
  <c r="P20" i="9"/>
  <c r="K21" i="9"/>
  <c r="R20" i="9"/>
  <c r="M21" i="9"/>
  <c r="F22" i="9"/>
  <c r="F29" i="9" s="1"/>
  <c r="Y22" i="9"/>
  <c r="Y29" i="9" s="1"/>
  <c r="S23" i="9"/>
  <c r="S30" i="9" s="1"/>
  <c r="M24" i="9"/>
  <c r="G25" i="9"/>
  <c r="G31" i="9" s="1"/>
  <c r="Z25" i="9"/>
  <c r="Z31" i="9" s="1"/>
  <c r="U20" i="9"/>
  <c r="N21" i="9"/>
  <c r="G22" i="9"/>
  <c r="G29" i="9" s="1"/>
  <c r="AB22" i="9"/>
  <c r="AB29" i="9" s="1"/>
  <c r="U23" i="9"/>
  <c r="N24" i="9"/>
  <c r="J25" i="9"/>
  <c r="J31" i="9" s="1"/>
  <c r="AA25" i="9"/>
  <c r="AA31" i="9" s="1"/>
  <c r="V20" i="9"/>
  <c r="V28" i="9" s="1"/>
  <c r="O21" i="9"/>
  <c r="I22" i="9"/>
  <c r="I29" i="9" s="1"/>
  <c r="F20" i="9"/>
  <c r="F28" i="9" s="1"/>
  <c r="Y20" i="9"/>
  <c r="R21" i="9"/>
  <c r="N22" i="9"/>
  <c r="N29" i="9" s="1"/>
  <c r="F23" i="9"/>
  <c r="Y23" i="9"/>
  <c r="U24" i="9"/>
  <c r="M25" i="9"/>
  <c r="M31" i="9" s="1"/>
  <c r="C22" i="9"/>
  <c r="C29" i="9" s="1"/>
  <c r="G20" i="9"/>
  <c r="G28" i="9" s="1"/>
  <c r="Z20" i="9"/>
  <c r="Z28" i="9" s="1"/>
  <c r="S21" i="9"/>
  <c r="O22" i="9"/>
  <c r="O29" i="9" s="1"/>
  <c r="G23" i="9"/>
  <c r="Z23" i="9"/>
  <c r="V24" i="9"/>
  <c r="N25" i="9"/>
  <c r="N31" i="9" s="1"/>
  <c r="C21" i="9"/>
  <c r="I20" i="9"/>
  <c r="I28" i="9" s="1"/>
  <c r="AB20" i="9"/>
  <c r="V21" i="9"/>
  <c r="P22" i="9"/>
  <c r="P29" i="9" s="1"/>
  <c r="J23" i="9"/>
  <c r="J30" i="9" s="1"/>
  <c r="D24" i="9"/>
  <c r="W24" i="9"/>
  <c r="Q25" i="9"/>
  <c r="Q31" i="9" s="1"/>
  <c r="W20" i="9"/>
  <c r="V23" i="9"/>
  <c r="V30" i="9" s="1"/>
  <c r="AB25" i="9"/>
  <c r="AB31" i="9" s="1"/>
  <c r="X23" i="9"/>
  <c r="C23" i="9"/>
  <c r="C30" i="9" s="1"/>
  <c r="F24" i="9"/>
  <c r="D21" i="9"/>
  <c r="Q21" i="9"/>
  <c r="X21" i="9"/>
  <c r="K24" i="9"/>
  <c r="D22" i="9"/>
  <c r="D29" i="9" s="1"/>
  <c r="P24" i="9"/>
  <c r="K25" i="9"/>
  <c r="K31" i="9" s="1"/>
  <c r="L25" i="9"/>
  <c r="L31" i="9" s="1"/>
  <c r="R23" i="9"/>
  <c r="K22" i="9"/>
  <c r="K29" i="9" s="1"/>
  <c r="R24" i="9"/>
  <c r="D20" i="9"/>
  <c r="Q22" i="9"/>
  <c r="Q29" i="9" s="1"/>
  <c r="X24" i="9"/>
  <c r="K23" i="9"/>
  <c r="K30" i="9" s="1"/>
  <c r="R25" i="9"/>
  <c r="R31" i="9" s="1"/>
  <c r="J20" i="9"/>
  <c r="Y25" i="9"/>
  <c r="Y31" i="9" s="1"/>
  <c r="W22" i="9"/>
  <c r="W29" i="9" s="1"/>
  <c r="E25" i="9"/>
  <c r="E31" i="9" s="1"/>
  <c r="D23" i="9"/>
  <c r="E23" i="9"/>
  <c r="F24" i="8"/>
  <c r="F30" i="8" s="1"/>
  <c r="I25" i="8"/>
  <c r="I31" i="8" s="1"/>
  <c r="R24" i="8"/>
  <c r="P23" i="8"/>
  <c r="P30" i="8" s="1"/>
  <c r="L21" i="8"/>
  <c r="L26" i="8" s="1"/>
  <c r="J20" i="8"/>
  <c r="W25" i="8"/>
  <c r="W31" i="8" s="1"/>
  <c r="AA20" i="8"/>
  <c r="AA28" i="8" s="1"/>
  <c r="C21" i="8"/>
  <c r="C28" i="8" s="1"/>
  <c r="C32" i="8" s="1"/>
  <c r="D24" i="8"/>
  <c r="D21" i="8"/>
  <c r="R25" i="8"/>
  <c r="R31" i="8" s="1"/>
  <c r="P24" i="8"/>
  <c r="N23" i="8"/>
  <c r="N30" i="8" s="1"/>
  <c r="L22" i="8"/>
  <c r="L29" i="8" s="1"/>
  <c r="J21" i="8"/>
  <c r="U21" i="8"/>
  <c r="AB24" i="8"/>
  <c r="W23" i="8"/>
  <c r="W20" i="8"/>
  <c r="W28" i="8" s="1"/>
  <c r="F326" i="15"/>
  <c r="G136" i="13"/>
  <c r="R138" i="13"/>
  <c r="R140" i="13" s="1"/>
  <c r="L20" i="7"/>
  <c r="U20" i="7"/>
  <c r="AB25" i="7"/>
  <c r="AB31" i="7" s="1"/>
  <c r="P21" i="7"/>
  <c r="G22" i="7"/>
  <c r="G29" i="7" s="1"/>
  <c r="Y22" i="7"/>
  <c r="Y29" i="7" s="1"/>
  <c r="U23" i="7"/>
  <c r="D20" i="7"/>
  <c r="M20" i="7"/>
  <c r="V20" i="7"/>
  <c r="C21" i="7"/>
  <c r="U21" i="7"/>
  <c r="L22" i="7"/>
  <c r="L29" i="7" s="1"/>
  <c r="C23" i="7"/>
  <c r="G24" i="7"/>
  <c r="G20" i="7"/>
  <c r="G26" i="7" s="1"/>
  <c r="P20" i="7"/>
  <c r="Y20" i="7"/>
  <c r="Y28" i="7" s="1"/>
  <c r="G21" i="7"/>
  <c r="Y21" i="7"/>
  <c r="P22" i="7"/>
  <c r="P29" i="7" s="1"/>
  <c r="G23" i="7"/>
  <c r="Y24" i="7"/>
  <c r="I20" i="7"/>
  <c r="Q20" i="7"/>
  <c r="Z20" i="7"/>
  <c r="L21" i="7"/>
  <c r="C22" i="7"/>
  <c r="C29" i="7" s="1"/>
  <c r="U22" i="7"/>
  <c r="U29" i="7" s="1"/>
  <c r="L23" i="7"/>
  <c r="P25" i="7"/>
  <c r="P31" i="7" s="1"/>
  <c r="F48" i="16"/>
  <c r="A62" i="16"/>
  <c r="F368" i="15"/>
  <c r="F375" i="15" s="1"/>
  <c r="F48" i="15"/>
  <c r="F55" i="15" s="1"/>
  <c r="F106" i="15"/>
  <c r="E129" i="15"/>
  <c r="E13" i="15"/>
  <c r="E10" i="15"/>
  <c r="E87" i="15"/>
  <c r="E94" i="15" s="1"/>
  <c r="F351" i="15"/>
  <c r="F357" i="15" s="1"/>
  <c r="G357" i="15" s="1"/>
  <c r="F33" i="15"/>
  <c r="F39" i="15" s="1"/>
  <c r="F89" i="15"/>
  <c r="A40" i="15"/>
  <c r="A37" i="15"/>
  <c r="B37" i="11"/>
  <c r="AB25" i="11"/>
  <c r="AB31" i="11" s="1"/>
  <c r="F20" i="11"/>
  <c r="K20" i="11"/>
  <c r="O20" i="11"/>
  <c r="O28" i="11" s="1"/>
  <c r="S20" i="11"/>
  <c r="S28" i="11" s="1"/>
  <c r="X20" i="11"/>
  <c r="X28" i="11" s="1"/>
  <c r="D21" i="11"/>
  <c r="I21" i="11"/>
  <c r="M21" i="11"/>
  <c r="Q21" i="11"/>
  <c r="V21" i="11"/>
  <c r="Z21" i="11"/>
  <c r="F22" i="11"/>
  <c r="F29" i="11" s="1"/>
  <c r="K22" i="11"/>
  <c r="K29" i="11" s="1"/>
  <c r="O22" i="11"/>
  <c r="O29" i="11" s="1"/>
  <c r="S22" i="11"/>
  <c r="S29" i="11" s="1"/>
  <c r="X22" i="11"/>
  <c r="X29" i="11" s="1"/>
  <c r="D23" i="11"/>
  <c r="D30" i="11" s="1"/>
  <c r="I23" i="11"/>
  <c r="I30" i="11" s="1"/>
  <c r="M23" i="11"/>
  <c r="Q23" i="11"/>
  <c r="V23" i="11"/>
  <c r="V30" i="11" s="1"/>
  <c r="Z23" i="11"/>
  <c r="F24" i="11"/>
  <c r="K24" i="11"/>
  <c r="O24" i="11"/>
  <c r="S24" i="11"/>
  <c r="X24" i="11"/>
  <c r="D25" i="11"/>
  <c r="D31" i="11" s="1"/>
  <c r="I25" i="11"/>
  <c r="I31" i="11" s="1"/>
  <c r="M25" i="11"/>
  <c r="M31" i="11" s="1"/>
  <c r="Q25" i="11"/>
  <c r="Q31" i="11" s="1"/>
  <c r="V25" i="11"/>
  <c r="V31" i="11" s="1"/>
  <c r="Z25" i="11"/>
  <c r="Z31" i="11" s="1"/>
  <c r="C23" i="11"/>
  <c r="G20" i="11"/>
  <c r="L20" i="11"/>
  <c r="P20" i="11"/>
  <c r="U20" i="11"/>
  <c r="U28" i="11" s="1"/>
  <c r="Y20" i="11"/>
  <c r="Y28" i="11" s="1"/>
  <c r="E21" i="11"/>
  <c r="J21" i="11"/>
  <c r="N21" i="11"/>
  <c r="R21" i="11"/>
  <c r="W21" i="11"/>
  <c r="AA21" i="11"/>
  <c r="G22" i="11"/>
  <c r="G29" i="11" s="1"/>
  <c r="L22" i="11"/>
  <c r="L29" i="11" s="1"/>
  <c r="P22" i="11"/>
  <c r="P29" i="11" s="1"/>
  <c r="U22" i="11"/>
  <c r="U29" i="11" s="1"/>
  <c r="Y22" i="11"/>
  <c r="Y29" i="11" s="1"/>
  <c r="E23" i="11"/>
  <c r="E30" i="11" s="1"/>
  <c r="J23" i="11"/>
  <c r="J30" i="11" s="1"/>
  <c r="N23" i="11"/>
  <c r="N30" i="11" s="1"/>
  <c r="R23" i="11"/>
  <c r="R30" i="11" s="1"/>
  <c r="W23" i="11"/>
  <c r="AA23" i="11"/>
  <c r="AA30" i="11" s="1"/>
  <c r="G24" i="11"/>
  <c r="L24" i="11"/>
  <c r="P24" i="11"/>
  <c r="U24" i="11"/>
  <c r="Y24" i="11"/>
  <c r="E25" i="11"/>
  <c r="E31" i="11" s="1"/>
  <c r="J25" i="11"/>
  <c r="J31" i="11" s="1"/>
  <c r="N25" i="11"/>
  <c r="N31" i="11" s="1"/>
  <c r="R25" i="11"/>
  <c r="R31" i="11" s="1"/>
  <c r="W25" i="11"/>
  <c r="W31" i="11" s="1"/>
  <c r="AA25" i="11"/>
  <c r="AA31" i="11" s="1"/>
  <c r="C22" i="11"/>
  <c r="C29" i="11" s="1"/>
  <c r="D20" i="11"/>
  <c r="I20" i="11"/>
  <c r="I28" i="11" s="1"/>
  <c r="M20" i="11"/>
  <c r="Q20" i="11"/>
  <c r="Q28" i="11" s="1"/>
  <c r="V20" i="11"/>
  <c r="V28" i="11" s="1"/>
  <c r="Z20" i="11"/>
  <c r="Z28" i="11" s="1"/>
  <c r="F21" i="11"/>
  <c r="K21" i="11"/>
  <c r="O21" i="11"/>
  <c r="S21" i="11"/>
  <c r="X21" i="11"/>
  <c r="D22" i="11"/>
  <c r="D29" i="11" s="1"/>
  <c r="I22" i="11"/>
  <c r="I29" i="11" s="1"/>
  <c r="M22" i="11"/>
  <c r="M29" i="11" s="1"/>
  <c r="Q22" i="11"/>
  <c r="Q29" i="11" s="1"/>
  <c r="V22" i="11"/>
  <c r="V29" i="11" s="1"/>
  <c r="V32" i="11" s="1"/>
  <c r="Z22" i="11"/>
  <c r="Z29" i="11" s="1"/>
  <c r="F23" i="11"/>
  <c r="F30" i="11" s="1"/>
  <c r="K23" i="11"/>
  <c r="K30" i="11" s="1"/>
  <c r="O23" i="11"/>
  <c r="O30" i="11" s="1"/>
  <c r="O32" i="11" s="1"/>
  <c r="S23" i="11"/>
  <c r="X23" i="11"/>
  <c r="D24" i="11"/>
  <c r="I24" i="11"/>
  <c r="M24" i="11"/>
  <c r="Q24" i="11"/>
  <c r="V24" i="11"/>
  <c r="Z24" i="11"/>
  <c r="F25" i="11"/>
  <c r="F31" i="11" s="1"/>
  <c r="K25" i="11"/>
  <c r="K31" i="11" s="1"/>
  <c r="O25" i="11"/>
  <c r="O31" i="11" s="1"/>
  <c r="S25" i="11"/>
  <c r="S31" i="11" s="1"/>
  <c r="X25" i="11"/>
  <c r="X31" i="11" s="1"/>
  <c r="C25" i="11"/>
  <c r="C31" i="11" s="1"/>
  <c r="C21" i="11"/>
  <c r="C28" i="11" s="1"/>
  <c r="E20" i="11"/>
  <c r="J20" i="11"/>
  <c r="N20" i="11"/>
  <c r="R20" i="11"/>
  <c r="R28" i="11" s="1"/>
  <c r="W20" i="11"/>
  <c r="W28" i="11" s="1"/>
  <c r="AA20" i="11"/>
  <c r="AA28" i="11" s="1"/>
  <c r="G21" i="11"/>
  <c r="L21" i="11"/>
  <c r="P21" i="11"/>
  <c r="P26" i="11" s="1"/>
  <c r="U21" i="11"/>
  <c r="Y21" i="11"/>
  <c r="E22" i="11"/>
  <c r="E29" i="11" s="1"/>
  <c r="J22" i="11"/>
  <c r="J29" i="11" s="1"/>
  <c r="N22" i="11"/>
  <c r="N29" i="11" s="1"/>
  <c r="R22" i="11"/>
  <c r="R29" i="11" s="1"/>
  <c r="W22" i="11"/>
  <c r="W29" i="11" s="1"/>
  <c r="AA22" i="11"/>
  <c r="AA29" i="11" s="1"/>
  <c r="G23" i="11"/>
  <c r="G30" i="11" s="1"/>
  <c r="L23" i="11"/>
  <c r="L30" i="11" s="1"/>
  <c r="P23" i="11"/>
  <c r="P30" i="11" s="1"/>
  <c r="U23" i="11"/>
  <c r="U30" i="11" s="1"/>
  <c r="Y23" i="11"/>
  <c r="E24" i="11"/>
  <c r="J24" i="11"/>
  <c r="N24" i="11"/>
  <c r="R24" i="11"/>
  <c r="W24" i="11"/>
  <c r="AA24" i="11"/>
  <c r="G25" i="11"/>
  <c r="G31" i="11" s="1"/>
  <c r="L25" i="11"/>
  <c r="L31" i="11" s="1"/>
  <c r="P25" i="11"/>
  <c r="P31" i="11" s="1"/>
  <c r="U25" i="11"/>
  <c r="U31" i="11" s="1"/>
  <c r="Y25" i="11"/>
  <c r="C24" i="11"/>
  <c r="V22" i="8"/>
  <c r="V29" i="8" s="1"/>
  <c r="Y21" i="8"/>
  <c r="AB20" i="8"/>
  <c r="AB28" i="8" s="1"/>
  <c r="X20" i="8"/>
  <c r="X28" i="8" s="1"/>
  <c r="AA22" i="8"/>
  <c r="AA29" i="8" s="1"/>
  <c r="W22" i="8"/>
  <c r="W29" i="8" s="1"/>
  <c r="Z21" i="8"/>
  <c r="V21" i="8"/>
  <c r="V28" i="8" s="1"/>
  <c r="V32" i="8" s="1"/>
  <c r="Y20" i="8"/>
  <c r="Y28" i="8" s="1"/>
  <c r="Y32" i="8" s="1"/>
  <c r="B37" i="8"/>
  <c r="P23" i="7"/>
  <c r="P24" i="7"/>
  <c r="U25" i="7"/>
  <c r="U31" i="7" s="1"/>
  <c r="C20" i="7"/>
  <c r="C28" i="7" s="1"/>
  <c r="Y23" i="7"/>
  <c r="Y30" i="7" s="1"/>
  <c r="G25" i="7"/>
  <c r="G31" i="7" s="1"/>
  <c r="B37" i="7"/>
  <c r="F20" i="6"/>
  <c r="K20" i="6"/>
  <c r="O20" i="6"/>
  <c r="S20" i="6"/>
  <c r="S28" i="6" s="1"/>
  <c r="X20" i="6"/>
  <c r="AB20" i="6"/>
  <c r="AB28" i="6" s="1"/>
  <c r="G21" i="6"/>
  <c r="L21" i="6"/>
  <c r="P21" i="6"/>
  <c r="U21" i="6"/>
  <c r="Y21" i="6"/>
  <c r="D22" i="6"/>
  <c r="D29" i="6" s="1"/>
  <c r="I22" i="6"/>
  <c r="I29" i="6" s="1"/>
  <c r="M22" i="6"/>
  <c r="M29" i="6" s="1"/>
  <c r="Q22" i="6"/>
  <c r="Q29" i="6" s="1"/>
  <c r="V22" i="6"/>
  <c r="V29" i="6" s="1"/>
  <c r="Z22" i="6"/>
  <c r="Z29" i="6" s="1"/>
  <c r="E23" i="6"/>
  <c r="E30" i="6" s="1"/>
  <c r="E32" i="6" s="1"/>
  <c r="J23" i="6"/>
  <c r="J30" i="6" s="1"/>
  <c r="N23" i="6"/>
  <c r="N30" i="6" s="1"/>
  <c r="R23" i="6"/>
  <c r="W23" i="6"/>
  <c r="AA23" i="6"/>
  <c r="AA30" i="6" s="1"/>
  <c r="F24" i="6"/>
  <c r="K24" i="6"/>
  <c r="O24" i="6"/>
  <c r="S24" i="6"/>
  <c r="X24" i="6"/>
  <c r="AB24" i="6"/>
  <c r="G25" i="6"/>
  <c r="G31" i="6" s="1"/>
  <c r="L25" i="6"/>
  <c r="L31" i="6" s="1"/>
  <c r="P25" i="6"/>
  <c r="P31" i="6" s="1"/>
  <c r="U25" i="6"/>
  <c r="U31" i="6" s="1"/>
  <c r="Y25" i="6"/>
  <c r="Y31" i="6" s="1"/>
  <c r="C25" i="6"/>
  <c r="C31" i="6" s="1"/>
  <c r="C21" i="6"/>
  <c r="S23" i="6"/>
  <c r="AB23" i="6"/>
  <c r="L24" i="6"/>
  <c r="P24" i="6"/>
  <c r="U24" i="6"/>
  <c r="U26" i="6" s="1"/>
  <c r="Y24" i="6"/>
  <c r="D25" i="6"/>
  <c r="D31" i="6" s="1"/>
  <c r="I25" i="6"/>
  <c r="I31" i="6" s="1"/>
  <c r="M25" i="6"/>
  <c r="M31" i="6" s="1"/>
  <c r="Q25" i="6"/>
  <c r="Q31" i="6" s="1"/>
  <c r="V25" i="6"/>
  <c r="V31" i="6" s="1"/>
  <c r="Z25" i="6"/>
  <c r="Z31" i="6" s="1"/>
  <c r="C24" i="6"/>
  <c r="C20" i="6"/>
  <c r="C28" i="6" s="1"/>
  <c r="C32" i="6" s="1"/>
  <c r="N20" i="6"/>
  <c r="N28" i="6" s="1"/>
  <c r="K21" i="6"/>
  <c r="AB21" i="6"/>
  <c r="P22" i="6"/>
  <c r="P29" i="6" s="1"/>
  <c r="Y22" i="6"/>
  <c r="Y29" i="6" s="1"/>
  <c r="I23" i="6"/>
  <c r="Q23" i="6"/>
  <c r="Z23" i="6"/>
  <c r="J24" i="6"/>
  <c r="R24" i="6"/>
  <c r="AA24" i="6"/>
  <c r="K25" i="6"/>
  <c r="K31" i="6" s="1"/>
  <c r="X25" i="6"/>
  <c r="X31" i="6" s="1"/>
  <c r="G20" i="6"/>
  <c r="G28" i="6" s="1"/>
  <c r="L20" i="6"/>
  <c r="L28" i="6" s="1"/>
  <c r="P20" i="6"/>
  <c r="P28" i="6" s="1"/>
  <c r="U20" i="6"/>
  <c r="U28" i="6" s="1"/>
  <c r="Y20" i="6"/>
  <c r="Y28" i="6" s="1"/>
  <c r="D21" i="6"/>
  <c r="I21" i="6"/>
  <c r="M21" i="6"/>
  <c r="Q21" i="6"/>
  <c r="V21" i="6"/>
  <c r="Z21" i="6"/>
  <c r="E22" i="6"/>
  <c r="E29" i="6" s="1"/>
  <c r="J22" i="6"/>
  <c r="J29" i="6" s="1"/>
  <c r="J32" i="6" s="1"/>
  <c r="N22" i="6"/>
  <c r="N29" i="6" s="1"/>
  <c r="N32" i="6" s="1"/>
  <c r="R22" i="6"/>
  <c r="R29" i="6" s="1"/>
  <c r="W22" i="6"/>
  <c r="W29" i="6" s="1"/>
  <c r="AA22" i="6"/>
  <c r="AA29" i="6" s="1"/>
  <c r="F23" i="6"/>
  <c r="K23" i="6"/>
  <c r="K30" i="6" s="1"/>
  <c r="O23" i="6"/>
  <c r="X23" i="6"/>
  <c r="G24" i="6"/>
  <c r="D20" i="6"/>
  <c r="D28" i="6" s="1"/>
  <c r="I20" i="6"/>
  <c r="I28" i="6" s="1"/>
  <c r="M20" i="6"/>
  <c r="M28" i="6" s="1"/>
  <c r="Q20" i="6"/>
  <c r="Q28" i="6" s="1"/>
  <c r="V20" i="6"/>
  <c r="V28" i="6" s="1"/>
  <c r="Z20" i="6"/>
  <c r="E21" i="6"/>
  <c r="J21" i="6"/>
  <c r="N21" i="6"/>
  <c r="R21" i="6"/>
  <c r="W21" i="6"/>
  <c r="AA21" i="6"/>
  <c r="F22" i="6"/>
  <c r="F29" i="6" s="1"/>
  <c r="K22" i="6"/>
  <c r="K29" i="6" s="1"/>
  <c r="O22" i="6"/>
  <c r="O29" i="6" s="1"/>
  <c r="S22" i="6"/>
  <c r="S29" i="6" s="1"/>
  <c r="X22" i="6"/>
  <c r="X29" i="6" s="1"/>
  <c r="AB22" i="6"/>
  <c r="AB29" i="6" s="1"/>
  <c r="G23" i="6"/>
  <c r="G30" i="6" s="1"/>
  <c r="L23" i="6"/>
  <c r="P23" i="6"/>
  <c r="U23" i="6"/>
  <c r="Y23" i="6"/>
  <c r="D24" i="6"/>
  <c r="I24" i="6"/>
  <c r="M24" i="6"/>
  <c r="Q24" i="6"/>
  <c r="V24" i="6"/>
  <c r="Z24" i="6"/>
  <c r="E25" i="6"/>
  <c r="E31" i="6" s="1"/>
  <c r="J25" i="6"/>
  <c r="J31" i="6" s="1"/>
  <c r="N25" i="6"/>
  <c r="N31" i="6" s="1"/>
  <c r="R25" i="6"/>
  <c r="R31" i="6" s="1"/>
  <c r="W25" i="6"/>
  <c r="W31" i="6" s="1"/>
  <c r="AA25" i="6"/>
  <c r="AA31" i="6" s="1"/>
  <c r="C23" i="6"/>
  <c r="C30" i="6" s="1"/>
  <c r="J20" i="6"/>
  <c r="J28" i="6" s="1"/>
  <c r="R20" i="6"/>
  <c r="R28" i="6" s="1"/>
  <c r="AA20" i="6"/>
  <c r="AA28" i="6" s="1"/>
  <c r="AA32" i="6" s="1"/>
  <c r="O21" i="6"/>
  <c r="X21" i="6"/>
  <c r="L22" i="6"/>
  <c r="L29" i="6" s="1"/>
  <c r="U22" i="6"/>
  <c r="U29" i="6" s="1"/>
  <c r="D23" i="6"/>
  <c r="D30" i="6" s="1"/>
  <c r="M23" i="6"/>
  <c r="V23" i="6"/>
  <c r="E24" i="6"/>
  <c r="N24" i="6"/>
  <c r="W24" i="6"/>
  <c r="O25" i="6"/>
  <c r="O31" i="6" s="1"/>
  <c r="AB25" i="6"/>
  <c r="AB31" i="6" s="1"/>
  <c r="E20" i="6"/>
  <c r="E28" i="6" s="1"/>
  <c r="W20" i="6"/>
  <c r="W28" i="6" s="1"/>
  <c r="F21" i="6"/>
  <c r="S21" i="6"/>
  <c r="G22" i="6"/>
  <c r="G29" i="6" s="1"/>
  <c r="F25" i="6"/>
  <c r="F31" i="6" s="1"/>
  <c r="S25" i="6"/>
  <c r="S31" i="6" s="1"/>
  <c r="C22" i="6"/>
  <c r="C29" i="6" s="1"/>
  <c r="F20" i="5"/>
  <c r="K20" i="5"/>
  <c r="K28" i="5" s="1"/>
  <c r="O20" i="5"/>
  <c r="O28" i="5" s="1"/>
  <c r="S20" i="5"/>
  <c r="S28" i="5" s="1"/>
  <c r="X20" i="5"/>
  <c r="X28" i="5" s="1"/>
  <c r="AB20" i="5"/>
  <c r="AB28" i="5" s="1"/>
  <c r="G21" i="5"/>
  <c r="L21" i="5"/>
  <c r="P21" i="5"/>
  <c r="U21" i="5"/>
  <c r="Y21" i="5"/>
  <c r="D22" i="5"/>
  <c r="D29" i="5" s="1"/>
  <c r="I22" i="5"/>
  <c r="I29" i="5" s="1"/>
  <c r="M22" i="5"/>
  <c r="M29" i="5" s="1"/>
  <c r="Q22" i="5"/>
  <c r="Q29" i="5" s="1"/>
  <c r="V22" i="5"/>
  <c r="V29" i="5" s="1"/>
  <c r="Z22" i="5"/>
  <c r="Z29" i="5" s="1"/>
  <c r="E23" i="5"/>
  <c r="E30" i="5" s="1"/>
  <c r="J23" i="5"/>
  <c r="J30" i="5" s="1"/>
  <c r="N23" i="5"/>
  <c r="R23" i="5"/>
  <c r="W23" i="5"/>
  <c r="AA23" i="5"/>
  <c r="F24" i="5"/>
  <c r="K24" i="5"/>
  <c r="O24" i="5"/>
  <c r="S24" i="5"/>
  <c r="X24" i="5"/>
  <c r="AB24" i="5"/>
  <c r="G25" i="5"/>
  <c r="G31" i="5" s="1"/>
  <c r="L25" i="5"/>
  <c r="L31" i="5" s="1"/>
  <c r="P25" i="5"/>
  <c r="P31" i="5" s="1"/>
  <c r="U25" i="5"/>
  <c r="U31" i="5" s="1"/>
  <c r="Y25" i="5"/>
  <c r="Y31" i="5" s="1"/>
  <c r="C25" i="5"/>
  <c r="C31" i="5" s="1"/>
  <c r="C21" i="5"/>
  <c r="G20" i="5"/>
  <c r="L20" i="5"/>
  <c r="L28" i="5" s="1"/>
  <c r="P20" i="5"/>
  <c r="P28" i="5" s="1"/>
  <c r="U20" i="5"/>
  <c r="U28" i="5" s="1"/>
  <c r="Y20" i="5"/>
  <c r="Y28" i="5" s="1"/>
  <c r="D21" i="5"/>
  <c r="I21" i="5"/>
  <c r="M21" i="5"/>
  <c r="Q21" i="5"/>
  <c r="V21" i="5"/>
  <c r="Z21" i="5"/>
  <c r="E22" i="5"/>
  <c r="E29" i="5" s="1"/>
  <c r="J22" i="5"/>
  <c r="J29" i="5" s="1"/>
  <c r="N22" i="5"/>
  <c r="N29" i="5" s="1"/>
  <c r="R22" i="5"/>
  <c r="R29" i="5" s="1"/>
  <c r="W22" i="5"/>
  <c r="W29" i="5" s="1"/>
  <c r="AA22" i="5"/>
  <c r="AA29" i="5" s="1"/>
  <c r="F23" i="5"/>
  <c r="F30" i="5" s="1"/>
  <c r="K23" i="5"/>
  <c r="K30" i="5" s="1"/>
  <c r="O23" i="5"/>
  <c r="S23" i="5"/>
  <c r="X23" i="5"/>
  <c r="AB23" i="5"/>
  <c r="G24" i="5"/>
  <c r="L24" i="5"/>
  <c r="P24" i="5"/>
  <c r="U24" i="5"/>
  <c r="Y24" i="5"/>
  <c r="D25" i="5"/>
  <c r="D31" i="5" s="1"/>
  <c r="I25" i="5"/>
  <c r="I31" i="5" s="1"/>
  <c r="M25" i="5"/>
  <c r="M31" i="5" s="1"/>
  <c r="Q25" i="5"/>
  <c r="Q31" i="5" s="1"/>
  <c r="V25" i="5"/>
  <c r="V31" i="5" s="1"/>
  <c r="Z25" i="5"/>
  <c r="Z31" i="5" s="1"/>
  <c r="C24" i="5"/>
  <c r="C20" i="5"/>
  <c r="C28" i="5" s="1"/>
  <c r="D20" i="5"/>
  <c r="I20" i="5"/>
  <c r="I28" i="5" s="1"/>
  <c r="M20" i="5"/>
  <c r="M28" i="5" s="1"/>
  <c r="Q20" i="5"/>
  <c r="Q28" i="5" s="1"/>
  <c r="V20" i="5"/>
  <c r="V28" i="5" s="1"/>
  <c r="Z20" i="5"/>
  <c r="Z28" i="5" s="1"/>
  <c r="E21" i="5"/>
  <c r="J21" i="5"/>
  <c r="N21" i="5"/>
  <c r="R21" i="5"/>
  <c r="W21" i="5"/>
  <c r="AA21" i="5"/>
  <c r="F22" i="5"/>
  <c r="F29" i="5" s="1"/>
  <c r="K22" i="5"/>
  <c r="K29" i="5" s="1"/>
  <c r="O22" i="5"/>
  <c r="O29" i="5" s="1"/>
  <c r="S22" i="5"/>
  <c r="S29" i="5" s="1"/>
  <c r="X22" i="5"/>
  <c r="X29" i="5" s="1"/>
  <c r="AB22" i="5"/>
  <c r="AB29" i="5" s="1"/>
  <c r="G23" i="5"/>
  <c r="G30" i="5" s="1"/>
  <c r="L23" i="5"/>
  <c r="L30" i="5" s="1"/>
  <c r="P23" i="5"/>
  <c r="U23" i="5"/>
  <c r="Y23" i="5"/>
  <c r="D24" i="5"/>
  <c r="I24" i="5"/>
  <c r="M24" i="5"/>
  <c r="Q24" i="5"/>
  <c r="V24" i="5"/>
  <c r="Z24" i="5"/>
  <c r="E25" i="5"/>
  <c r="E31" i="5" s="1"/>
  <c r="J25" i="5"/>
  <c r="J31" i="5" s="1"/>
  <c r="N25" i="5"/>
  <c r="N31" i="5" s="1"/>
  <c r="R25" i="5"/>
  <c r="R31" i="5" s="1"/>
  <c r="W25" i="5"/>
  <c r="W31" i="5" s="1"/>
  <c r="AA25" i="5"/>
  <c r="AA31" i="5" s="1"/>
  <c r="C23" i="5"/>
  <c r="E20" i="5"/>
  <c r="J20" i="5"/>
  <c r="J28" i="5" s="1"/>
  <c r="N20" i="5"/>
  <c r="N28" i="5" s="1"/>
  <c r="R20" i="5"/>
  <c r="R28" i="5" s="1"/>
  <c r="W20" i="5"/>
  <c r="W28" i="5" s="1"/>
  <c r="AA20" i="5"/>
  <c r="AA28" i="5" s="1"/>
  <c r="F21" i="5"/>
  <c r="K21" i="5"/>
  <c r="O21" i="5"/>
  <c r="S21" i="5"/>
  <c r="X21" i="5"/>
  <c r="AB21" i="5"/>
  <c r="G22" i="5"/>
  <c r="G29" i="5" s="1"/>
  <c r="L22" i="5"/>
  <c r="L29" i="5" s="1"/>
  <c r="P22" i="5"/>
  <c r="P29" i="5" s="1"/>
  <c r="U22" i="5"/>
  <c r="U29" i="5" s="1"/>
  <c r="Y22" i="5"/>
  <c r="Y29" i="5" s="1"/>
  <c r="D23" i="5"/>
  <c r="D30" i="5" s="1"/>
  <c r="I23" i="5"/>
  <c r="I30" i="5" s="1"/>
  <c r="M23" i="5"/>
  <c r="Q23" i="5"/>
  <c r="V23" i="5"/>
  <c r="Z23" i="5"/>
  <c r="E24" i="5"/>
  <c r="J24" i="5"/>
  <c r="N24" i="5"/>
  <c r="R24" i="5"/>
  <c r="W24" i="5"/>
  <c r="AA24" i="5"/>
  <c r="F25" i="5"/>
  <c r="F31" i="5" s="1"/>
  <c r="K25" i="5"/>
  <c r="K31" i="5" s="1"/>
  <c r="O25" i="5"/>
  <c r="O31" i="5" s="1"/>
  <c r="S25" i="5"/>
  <c r="S31" i="5" s="1"/>
  <c r="X25" i="5"/>
  <c r="X31" i="5" s="1"/>
  <c r="AB25" i="5"/>
  <c r="AB31" i="5" s="1"/>
  <c r="C22" i="5"/>
  <c r="C29" i="5" s="1"/>
  <c r="F20" i="4"/>
  <c r="K20" i="4"/>
  <c r="K28" i="4" s="1"/>
  <c r="O20" i="4"/>
  <c r="O28" i="4" s="1"/>
  <c r="S20" i="4"/>
  <c r="S28" i="4" s="1"/>
  <c r="X20" i="4"/>
  <c r="X28" i="4" s="1"/>
  <c r="AB20" i="4"/>
  <c r="AB28" i="4" s="1"/>
  <c r="G21" i="4"/>
  <c r="L21" i="4"/>
  <c r="P21" i="4"/>
  <c r="U21" i="4"/>
  <c r="Y21" i="4"/>
  <c r="D22" i="4"/>
  <c r="D29" i="4" s="1"/>
  <c r="I22" i="4"/>
  <c r="I29" i="4" s="1"/>
  <c r="M22" i="4"/>
  <c r="M29" i="4" s="1"/>
  <c r="Q22" i="4"/>
  <c r="Q29" i="4" s="1"/>
  <c r="V22" i="4"/>
  <c r="V29" i="4" s="1"/>
  <c r="Z22" i="4"/>
  <c r="Z29" i="4" s="1"/>
  <c r="E23" i="4"/>
  <c r="E30" i="4" s="1"/>
  <c r="J23" i="4"/>
  <c r="J30" i="4" s="1"/>
  <c r="N23" i="4"/>
  <c r="R23" i="4"/>
  <c r="W23" i="4"/>
  <c r="AA23" i="4"/>
  <c r="F24" i="4"/>
  <c r="K24" i="4"/>
  <c r="O24" i="4"/>
  <c r="S24" i="4"/>
  <c r="X24" i="4"/>
  <c r="AB24" i="4"/>
  <c r="G25" i="4"/>
  <c r="G31" i="4" s="1"/>
  <c r="L25" i="4"/>
  <c r="L31" i="4" s="1"/>
  <c r="P25" i="4"/>
  <c r="P31" i="4" s="1"/>
  <c r="U25" i="4"/>
  <c r="U31" i="4" s="1"/>
  <c r="Y25" i="4"/>
  <c r="Y31" i="4" s="1"/>
  <c r="C25" i="4"/>
  <c r="C31" i="4" s="1"/>
  <c r="C21" i="4"/>
  <c r="G20" i="4"/>
  <c r="L20" i="4"/>
  <c r="L28" i="4" s="1"/>
  <c r="P20" i="4"/>
  <c r="P28" i="4" s="1"/>
  <c r="U20" i="4"/>
  <c r="U28" i="4" s="1"/>
  <c r="Y20" i="4"/>
  <c r="Y28" i="4" s="1"/>
  <c r="D21" i="4"/>
  <c r="I21" i="4"/>
  <c r="M21" i="4"/>
  <c r="Q21" i="4"/>
  <c r="V21" i="4"/>
  <c r="Z21" i="4"/>
  <c r="E22" i="4"/>
  <c r="E29" i="4" s="1"/>
  <c r="J22" i="4"/>
  <c r="J29" i="4" s="1"/>
  <c r="N22" i="4"/>
  <c r="N29" i="4" s="1"/>
  <c r="R22" i="4"/>
  <c r="R29" i="4" s="1"/>
  <c r="W22" i="4"/>
  <c r="W29" i="4" s="1"/>
  <c r="AA22" i="4"/>
  <c r="AA29" i="4" s="1"/>
  <c r="F23" i="4"/>
  <c r="F30" i="4" s="1"/>
  <c r="K23" i="4"/>
  <c r="K30" i="4" s="1"/>
  <c r="O23" i="4"/>
  <c r="S23" i="4"/>
  <c r="X23" i="4"/>
  <c r="AB23" i="4"/>
  <c r="G24" i="4"/>
  <c r="L24" i="4"/>
  <c r="P24" i="4"/>
  <c r="U24" i="4"/>
  <c r="Y24" i="4"/>
  <c r="D25" i="4"/>
  <c r="D31" i="4" s="1"/>
  <c r="I25" i="4"/>
  <c r="I31" i="4" s="1"/>
  <c r="M25" i="4"/>
  <c r="M31" i="4" s="1"/>
  <c r="Q25" i="4"/>
  <c r="Q31" i="4" s="1"/>
  <c r="V25" i="4"/>
  <c r="V31" i="4" s="1"/>
  <c r="Z25" i="4"/>
  <c r="Z31" i="4" s="1"/>
  <c r="C24" i="4"/>
  <c r="C20" i="4"/>
  <c r="C28" i="4" s="1"/>
  <c r="D20" i="4"/>
  <c r="I20" i="4"/>
  <c r="I28" i="4" s="1"/>
  <c r="M20" i="4"/>
  <c r="M28" i="4" s="1"/>
  <c r="Q20" i="4"/>
  <c r="Q28" i="4" s="1"/>
  <c r="V20" i="4"/>
  <c r="V28" i="4" s="1"/>
  <c r="Z20" i="4"/>
  <c r="Z28" i="4" s="1"/>
  <c r="E21" i="4"/>
  <c r="J21" i="4"/>
  <c r="N21" i="4"/>
  <c r="R21" i="4"/>
  <c r="W21" i="4"/>
  <c r="AA21" i="4"/>
  <c r="F22" i="4"/>
  <c r="F29" i="4" s="1"/>
  <c r="K22" i="4"/>
  <c r="K29" i="4" s="1"/>
  <c r="O22" i="4"/>
  <c r="O29" i="4" s="1"/>
  <c r="S22" i="4"/>
  <c r="S29" i="4" s="1"/>
  <c r="X22" i="4"/>
  <c r="X29" i="4" s="1"/>
  <c r="AB22" i="4"/>
  <c r="AB29" i="4" s="1"/>
  <c r="G23" i="4"/>
  <c r="G30" i="4" s="1"/>
  <c r="L23" i="4"/>
  <c r="L30" i="4" s="1"/>
  <c r="P23" i="4"/>
  <c r="U23" i="4"/>
  <c r="Y23" i="4"/>
  <c r="D24" i="4"/>
  <c r="I24" i="4"/>
  <c r="M24" i="4"/>
  <c r="Q24" i="4"/>
  <c r="V24" i="4"/>
  <c r="Z24" i="4"/>
  <c r="E25" i="4"/>
  <c r="E31" i="4" s="1"/>
  <c r="J25" i="4"/>
  <c r="J31" i="4" s="1"/>
  <c r="N25" i="4"/>
  <c r="N31" i="4" s="1"/>
  <c r="R25" i="4"/>
  <c r="R31" i="4" s="1"/>
  <c r="W25" i="4"/>
  <c r="W31" i="4" s="1"/>
  <c r="AA25" i="4"/>
  <c r="AA31" i="4" s="1"/>
  <c r="C23" i="4"/>
  <c r="E20" i="4"/>
  <c r="J20" i="4"/>
  <c r="J28" i="4" s="1"/>
  <c r="N20" i="4"/>
  <c r="N28" i="4" s="1"/>
  <c r="R20" i="4"/>
  <c r="R28" i="4" s="1"/>
  <c r="W20" i="4"/>
  <c r="W28" i="4" s="1"/>
  <c r="AA20" i="4"/>
  <c r="AA28" i="4" s="1"/>
  <c r="F21" i="4"/>
  <c r="K21" i="4"/>
  <c r="O21" i="4"/>
  <c r="S21" i="4"/>
  <c r="X21" i="4"/>
  <c r="AB21" i="4"/>
  <c r="G22" i="4"/>
  <c r="G29" i="4" s="1"/>
  <c r="L22" i="4"/>
  <c r="L29" i="4" s="1"/>
  <c r="P22" i="4"/>
  <c r="P29" i="4" s="1"/>
  <c r="U22" i="4"/>
  <c r="U29" i="4" s="1"/>
  <c r="Y22" i="4"/>
  <c r="Y29" i="4" s="1"/>
  <c r="D23" i="4"/>
  <c r="D30" i="4" s="1"/>
  <c r="I23" i="4"/>
  <c r="I30" i="4" s="1"/>
  <c r="M23" i="4"/>
  <c r="Q23" i="4"/>
  <c r="V23" i="4"/>
  <c r="Z23" i="4"/>
  <c r="E24" i="4"/>
  <c r="J24" i="4"/>
  <c r="N24" i="4"/>
  <c r="R24" i="4"/>
  <c r="W24" i="4"/>
  <c r="AA24" i="4"/>
  <c r="F25" i="4"/>
  <c r="F31" i="4" s="1"/>
  <c r="K25" i="4"/>
  <c r="K31" i="4" s="1"/>
  <c r="O25" i="4"/>
  <c r="O31" i="4" s="1"/>
  <c r="S25" i="4"/>
  <c r="S31" i="4" s="1"/>
  <c r="X25" i="4"/>
  <c r="X31" i="4" s="1"/>
  <c r="AB25" i="4"/>
  <c r="AB31" i="4" s="1"/>
  <c r="C22" i="4"/>
  <c r="C29" i="4" s="1"/>
  <c r="G20" i="2"/>
  <c r="L20" i="2"/>
  <c r="L28" i="2" s="1"/>
  <c r="P20" i="2"/>
  <c r="P28" i="2" s="1"/>
  <c r="U20" i="2"/>
  <c r="U28" i="2" s="1"/>
  <c r="Y20" i="2"/>
  <c r="Y28" i="2" s="1"/>
  <c r="D21" i="2"/>
  <c r="I21" i="2"/>
  <c r="M21" i="2"/>
  <c r="Q21" i="2"/>
  <c r="V21" i="2"/>
  <c r="Z21" i="2"/>
  <c r="E22" i="2"/>
  <c r="E29" i="2" s="1"/>
  <c r="J22" i="2"/>
  <c r="J29" i="2" s="1"/>
  <c r="N22" i="2"/>
  <c r="N29" i="2" s="1"/>
  <c r="R22" i="2"/>
  <c r="R29" i="2" s="1"/>
  <c r="W22" i="2"/>
  <c r="W29" i="2" s="1"/>
  <c r="AA22" i="2"/>
  <c r="AA29" i="2" s="1"/>
  <c r="F23" i="2"/>
  <c r="F30" i="2" s="1"/>
  <c r="K23" i="2"/>
  <c r="K30" i="2" s="1"/>
  <c r="O23" i="2"/>
  <c r="O30" i="2" s="1"/>
  <c r="S23" i="2"/>
  <c r="X23" i="2"/>
  <c r="AB23" i="2"/>
  <c r="G24" i="2"/>
  <c r="L24" i="2"/>
  <c r="P24" i="2"/>
  <c r="U24" i="2"/>
  <c r="Y24" i="2"/>
  <c r="D25" i="2"/>
  <c r="D31" i="2" s="1"/>
  <c r="I25" i="2"/>
  <c r="I31" i="2" s="1"/>
  <c r="M25" i="2"/>
  <c r="M31" i="2" s="1"/>
  <c r="Q25" i="2"/>
  <c r="Q31" i="2" s="1"/>
  <c r="V25" i="2"/>
  <c r="V31" i="2" s="1"/>
  <c r="Z25" i="2"/>
  <c r="Z31" i="2" s="1"/>
  <c r="C24" i="2"/>
  <c r="D20" i="2"/>
  <c r="I20" i="2"/>
  <c r="M20" i="2"/>
  <c r="M28" i="2" s="1"/>
  <c r="Q20" i="2"/>
  <c r="Q28" i="2" s="1"/>
  <c r="V20" i="2"/>
  <c r="V28" i="2" s="1"/>
  <c r="Z20" i="2"/>
  <c r="Z28" i="2" s="1"/>
  <c r="E21" i="2"/>
  <c r="E26" i="2" s="1"/>
  <c r="J21" i="2"/>
  <c r="N21" i="2"/>
  <c r="R21" i="2"/>
  <c r="W21" i="2"/>
  <c r="AA21" i="2"/>
  <c r="F22" i="2"/>
  <c r="F29" i="2" s="1"/>
  <c r="K22" i="2"/>
  <c r="K29" i="2" s="1"/>
  <c r="O22" i="2"/>
  <c r="O29" i="2" s="1"/>
  <c r="S22" i="2"/>
  <c r="S29" i="2" s="1"/>
  <c r="X22" i="2"/>
  <c r="X29" i="2" s="1"/>
  <c r="AB22" i="2"/>
  <c r="AB29" i="2" s="1"/>
  <c r="G23" i="2"/>
  <c r="G30" i="2" s="1"/>
  <c r="L23" i="2"/>
  <c r="L30" i="2" s="1"/>
  <c r="P23" i="2"/>
  <c r="U23" i="2"/>
  <c r="Y23" i="2"/>
  <c r="D24" i="2"/>
  <c r="I24" i="2"/>
  <c r="M24" i="2"/>
  <c r="Q24" i="2"/>
  <c r="V24" i="2"/>
  <c r="Z24" i="2"/>
  <c r="E25" i="2"/>
  <c r="E31" i="2" s="1"/>
  <c r="J25" i="2"/>
  <c r="J31" i="2" s="1"/>
  <c r="N25" i="2"/>
  <c r="N31" i="2" s="1"/>
  <c r="R25" i="2"/>
  <c r="R31" i="2" s="1"/>
  <c r="W25" i="2"/>
  <c r="W31" i="2" s="1"/>
  <c r="AA25" i="2"/>
  <c r="AA31" i="2" s="1"/>
  <c r="C23" i="2"/>
  <c r="C30" i="2" s="1"/>
  <c r="E20" i="2"/>
  <c r="J20" i="2"/>
  <c r="N20" i="2"/>
  <c r="N28" i="2" s="1"/>
  <c r="R20" i="2"/>
  <c r="R28" i="2" s="1"/>
  <c r="W20" i="2"/>
  <c r="W28" i="2" s="1"/>
  <c r="AA20" i="2"/>
  <c r="AA28" i="2" s="1"/>
  <c r="F21" i="2"/>
  <c r="K21" i="2"/>
  <c r="O21" i="2"/>
  <c r="S21" i="2"/>
  <c r="X21" i="2"/>
  <c r="AB21" i="2"/>
  <c r="G22" i="2"/>
  <c r="G29" i="2" s="1"/>
  <c r="L22" i="2"/>
  <c r="L29" i="2" s="1"/>
  <c r="P22" i="2"/>
  <c r="P29" i="2" s="1"/>
  <c r="U22" i="2"/>
  <c r="U29" i="2" s="1"/>
  <c r="Y22" i="2"/>
  <c r="Y29" i="2" s="1"/>
  <c r="D23" i="2"/>
  <c r="D30" i="2" s="1"/>
  <c r="I23" i="2"/>
  <c r="M23" i="2"/>
  <c r="M30" i="2" s="1"/>
  <c r="Q23" i="2"/>
  <c r="V23" i="2"/>
  <c r="Z23" i="2"/>
  <c r="E24" i="2"/>
  <c r="J24" i="2"/>
  <c r="N24" i="2"/>
  <c r="R24" i="2"/>
  <c r="W24" i="2"/>
  <c r="AA24" i="2"/>
  <c r="F25" i="2"/>
  <c r="F31" i="2" s="1"/>
  <c r="K25" i="2"/>
  <c r="K31" i="2" s="1"/>
  <c r="O25" i="2"/>
  <c r="O31" i="2" s="1"/>
  <c r="S25" i="2"/>
  <c r="S31" i="2" s="1"/>
  <c r="X25" i="2"/>
  <c r="X31" i="2" s="1"/>
  <c r="AB25" i="2"/>
  <c r="AB31" i="2" s="1"/>
  <c r="C22" i="2"/>
  <c r="C29" i="2" s="1"/>
  <c r="F20" i="2"/>
  <c r="K20" i="2"/>
  <c r="O20" i="2"/>
  <c r="O28" i="2" s="1"/>
  <c r="O32" i="2" s="1"/>
  <c r="S20" i="2"/>
  <c r="S28" i="2" s="1"/>
  <c r="X20" i="2"/>
  <c r="X28" i="2" s="1"/>
  <c r="AB20" i="2"/>
  <c r="AB28" i="2" s="1"/>
  <c r="G21" i="2"/>
  <c r="L21" i="2"/>
  <c r="P21" i="2"/>
  <c r="U21" i="2"/>
  <c r="Y21" i="2"/>
  <c r="D22" i="2"/>
  <c r="D29" i="2" s="1"/>
  <c r="I22" i="2"/>
  <c r="I29" i="2" s="1"/>
  <c r="M22" i="2"/>
  <c r="M29" i="2" s="1"/>
  <c r="Q22" i="2"/>
  <c r="Q29" i="2" s="1"/>
  <c r="V22" i="2"/>
  <c r="V29" i="2" s="1"/>
  <c r="Z22" i="2"/>
  <c r="Z29" i="2" s="1"/>
  <c r="E23" i="2"/>
  <c r="E30" i="2" s="1"/>
  <c r="J23" i="2"/>
  <c r="J30" i="2" s="1"/>
  <c r="N23" i="2"/>
  <c r="N30" i="2" s="1"/>
  <c r="R23" i="2"/>
  <c r="W23" i="2"/>
  <c r="AA23" i="2"/>
  <c r="F24" i="2"/>
  <c r="K24" i="2"/>
  <c r="O24" i="2"/>
  <c r="S24" i="2"/>
  <c r="X24" i="2"/>
  <c r="AB24" i="2"/>
  <c r="G25" i="2"/>
  <c r="G31" i="2" s="1"/>
  <c r="L25" i="2"/>
  <c r="P25" i="2"/>
  <c r="P31" i="2" s="1"/>
  <c r="U25" i="2"/>
  <c r="U31" i="2" s="1"/>
  <c r="Y25" i="2"/>
  <c r="Y31" i="2" s="1"/>
  <c r="C25" i="2"/>
  <c r="C31" i="2" s="1"/>
  <c r="C21" i="2"/>
  <c r="C28" i="2" s="1"/>
  <c r="C32" i="2" s="1"/>
  <c r="F12" i="15"/>
  <c r="F19" i="15" s="1"/>
  <c r="F10" i="15"/>
  <c r="F18" i="15" s="1"/>
  <c r="C62" i="15"/>
  <c r="C61" i="15"/>
  <c r="A17" i="15"/>
  <c r="A92" i="15" s="1"/>
  <c r="B37" i="10"/>
  <c r="B37" i="9"/>
  <c r="B37" i="6"/>
  <c r="B56" i="14"/>
  <c r="A56" i="14" s="1"/>
  <c r="B37" i="5"/>
  <c r="B37" i="3"/>
  <c r="B37" i="4"/>
  <c r="B37" i="2"/>
  <c r="B37" i="1"/>
  <c r="C36" i="12"/>
  <c r="C44" i="12" s="1"/>
  <c r="C40" i="12"/>
  <c r="J41" i="12"/>
  <c r="E41" i="12"/>
  <c r="J40" i="12"/>
  <c r="E40" i="12"/>
  <c r="J39" i="12"/>
  <c r="E39" i="12"/>
  <c r="J38" i="12"/>
  <c r="J45" i="12" s="1"/>
  <c r="E38" i="12"/>
  <c r="E45" i="12" s="1"/>
  <c r="J37" i="12"/>
  <c r="E127" i="16" s="1"/>
  <c r="E37" i="12"/>
  <c r="E49" i="16" s="1"/>
  <c r="J36" i="12"/>
  <c r="J44" i="12" s="1"/>
  <c r="E36" i="12"/>
  <c r="E44" i="12" s="1"/>
  <c r="C37" i="12"/>
  <c r="E11" i="16" s="1"/>
  <c r="C41" i="12"/>
  <c r="I41" i="12"/>
  <c r="D41" i="12"/>
  <c r="I40" i="12"/>
  <c r="D40" i="12"/>
  <c r="I39" i="12"/>
  <c r="D39" i="12"/>
  <c r="I38" i="12"/>
  <c r="I45" i="12" s="1"/>
  <c r="D38" i="12"/>
  <c r="D45" i="12" s="1"/>
  <c r="I37" i="12"/>
  <c r="E109" i="16" s="1"/>
  <c r="D37" i="12"/>
  <c r="E30" i="16" s="1"/>
  <c r="I36" i="12"/>
  <c r="D36" i="12"/>
  <c r="A29" i="16"/>
  <c r="C38" i="12"/>
  <c r="C45" i="12" s="1"/>
  <c r="L41" i="12"/>
  <c r="G41" i="12"/>
  <c r="L40" i="12"/>
  <c r="G40" i="12"/>
  <c r="L39" i="12"/>
  <c r="G39" i="12"/>
  <c r="L38" i="12"/>
  <c r="L45" i="12" s="1"/>
  <c r="G38" i="12"/>
  <c r="G45" i="12" s="1"/>
  <c r="L37" i="12"/>
  <c r="E167" i="16" s="1"/>
  <c r="G37" i="12"/>
  <c r="E90" i="16" s="1"/>
  <c r="L36" i="12"/>
  <c r="G36" i="12"/>
  <c r="C39" i="12"/>
  <c r="K41" i="12"/>
  <c r="F41" i="12"/>
  <c r="K40" i="12"/>
  <c r="F40" i="12"/>
  <c r="K39" i="12"/>
  <c r="F39" i="12"/>
  <c r="K38" i="12"/>
  <c r="K45" i="12" s="1"/>
  <c r="F38" i="12"/>
  <c r="F45" i="12" s="1"/>
  <c r="K37" i="12"/>
  <c r="E146" i="16" s="1"/>
  <c r="F37" i="12"/>
  <c r="E71" i="16" s="1"/>
  <c r="K36" i="12"/>
  <c r="F36" i="12"/>
  <c r="F44" i="12" s="1"/>
  <c r="F11" i="16"/>
  <c r="F15" i="16"/>
  <c r="F21" i="16" s="1"/>
  <c r="F113" i="16"/>
  <c r="F119" i="16" s="1"/>
  <c r="F34" i="16"/>
  <c r="F40" i="16" s="1"/>
  <c r="F112" i="16"/>
  <c r="F33" i="16"/>
  <c r="F111" i="16"/>
  <c r="F31" i="16"/>
  <c r="F38" i="16" s="1"/>
  <c r="F109" i="16"/>
  <c r="F30" i="16"/>
  <c r="F108" i="16"/>
  <c r="F29" i="16"/>
  <c r="F12" i="16"/>
  <c r="F19" i="16" s="1"/>
  <c r="F171" i="16"/>
  <c r="F177" i="16" s="1"/>
  <c r="F94" i="16"/>
  <c r="F100" i="16" s="1"/>
  <c r="F170" i="16"/>
  <c r="F93" i="16"/>
  <c r="F169" i="16"/>
  <c r="F92" i="16"/>
  <c r="F168" i="16"/>
  <c r="F175" i="16" s="1"/>
  <c r="F91" i="16"/>
  <c r="F98" i="16" s="1"/>
  <c r="F167" i="16"/>
  <c r="F90" i="16"/>
  <c r="F89" i="16"/>
  <c r="F97" i="16" s="1"/>
  <c r="A32" i="16"/>
  <c r="F13" i="16"/>
  <c r="F150" i="16"/>
  <c r="F156" i="16" s="1"/>
  <c r="F75" i="16"/>
  <c r="F81" i="16" s="1"/>
  <c r="F149" i="16"/>
  <c r="F74" i="16"/>
  <c r="F148" i="16"/>
  <c r="F73" i="16"/>
  <c r="F147" i="16"/>
  <c r="F154" i="16" s="1"/>
  <c r="F72" i="16"/>
  <c r="F79" i="16" s="1"/>
  <c r="F146" i="16"/>
  <c r="F71" i="16"/>
  <c r="F145" i="16"/>
  <c r="F10" i="16"/>
  <c r="F14" i="16"/>
  <c r="F131" i="16"/>
  <c r="F137" i="16" s="1"/>
  <c r="F53" i="16"/>
  <c r="F59" i="16" s="1"/>
  <c r="F130" i="16"/>
  <c r="F52" i="16"/>
  <c r="F129" i="16"/>
  <c r="F51" i="16"/>
  <c r="F128" i="16"/>
  <c r="F135" i="16" s="1"/>
  <c r="F50" i="16"/>
  <c r="F57" i="16" s="1"/>
  <c r="F127" i="16"/>
  <c r="F49" i="16"/>
  <c r="F126" i="16"/>
  <c r="D97" i="12"/>
  <c r="I97" i="12"/>
  <c r="G97" i="12"/>
  <c r="F32" i="16"/>
  <c r="F39" i="16" s="1"/>
  <c r="F110" i="16"/>
  <c r="F117" i="16" s="1"/>
  <c r="K97" i="12"/>
  <c r="E97" i="12"/>
  <c r="A55" i="15"/>
  <c r="C97" i="12"/>
  <c r="H67" i="13"/>
  <c r="K64" i="13"/>
  <c r="E106" i="15" s="1"/>
  <c r="F15" i="15"/>
  <c r="F21" i="15" s="1"/>
  <c r="F331" i="15"/>
  <c r="F337" i="15" s="1"/>
  <c r="F251" i="15"/>
  <c r="F257" i="15" s="1"/>
  <c r="F171" i="15"/>
  <c r="F177" i="15" s="1"/>
  <c r="F90" i="15"/>
  <c r="F96" i="15" s="1"/>
  <c r="F390" i="15"/>
  <c r="F396" i="15" s="1"/>
  <c r="F309" i="15"/>
  <c r="F315" i="15" s="1"/>
  <c r="F231" i="15"/>
  <c r="F237" i="15" s="1"/>
  <c r="F150" i="15"/>
  <c r="F68" i="15"/>
  <c r="F74" i="15" s="1"/>
  <c r="F369" i="15"/>
  <c r="F288" i="15"/>
  <c r="F210" i="15"/>
  <c r="F128" i="15"/>
  <c r="F49" i="15"/>
  <c r="F348" i="15"/>
  <c r="F355" i="15" s="1"/>
  <c r="F267" i="15"/>
  <c r="F274" i="15" s="1"/>
  <c r="F188" i="15"/>
  <c r="F195" i="15" s="1"/>
  <c r="F107" i="15"/>
  <c r="F114" i="15" s="1"/>
  <c r="F327" i="15"/>
  <c r="F334" i="15" s="1"/>
  <c r="F247" i="15"/>
  <c r="F254" i="15" s="1"/>
  <c r="F167" i="15"/>
  <c r="F86" i="15"/>
  <c r="F93" i="15" s="1"/>
  <c r="F386" i="15"/>
  <c r="F305" i="15"/>
  <c r="F227" i="15"/>
  <c r="F146" i="15"/>
  <c r="F64" i="15"/>
  <c r="K68" i="13"/>
  <c r="M66" i="13"/>
  <c r="J63" i="13"/>
  <c r="J71" i="13" s="1"/>
  <c r="F391" i="15"/>
  <c r="F397" i="15" s="1"/>
  <c r="F310" i="15"/>
  <c r="F316" i="15" s="1"/>
  <c r="F232" i="15"/>
  <c r="F238" i="15" s="1"/>
  <c r="F151" i="15"/>
  <c r="F157" i="15" s="1"/>
  <c r="F69" i="15"/>
  <c r="F75" i="15" s="1"/>
  <c r="F370" i="15"/>
  <c r="F289" i="15"/>
  <c r="F211" i="15"/>
  <c r="F129" i="15"/>
  <c r="F50" i="15"/>
  <c r="F349" i="15"/>
  <c r="F268" i="15"/>
  <c r="F189" i="15"/>
  <c r="F108" i="15"/>
  <c r="F31" i="15"/>
  <c r="F328" i="15"/>
  <c r="F335" i="15" s="1"/>
  <c r="F248" i="15"/>
  <c r="F255" i="15" s="1"/>
  <c r="F168" i="15"/>
  <c r="F175" i="15" s="1"/>
  <c r="F87" i="15"/>
  <c r="F94" i="15" s="1"/>
  <c r="G94" i="15" s="1"/>
  <c r="F387" i="15"/>
  <c r="F306" i="15"/>
  <c r="F228" i="15"/>
  <c r="F147" i="15"/>
  <c r="F65" i="15"/>
  <c r="F366" i="15"/>
  <c r="F285" i="15"/>
  <c r="F207" i="15"/>
  <c r="F125" i="15"/>
  <c r="F46" i="15"/>
  <c r="G68" i="13"/>
  <c r="I66" i="13"/>
  <c r="G63" i="13"/>
  <c r="G71" i="13" s="1"/>
  <c r="F13" i="15"/>
  <c r="F20" i="15" s="1"/>
  <c r="F371" i="15"/>
  <c r="F377" i="15" s="1"/>
  <c r="F290" i="15"/>
  <c r="F296" i="15" s="1"/>
  <c r="F212" i="15"/>
  <c r="F218" i="15" s="1"/>
  <c r="F130" i="15"/>
  <c r="F136" i="15" s="1"/>
  <c r="F51" i="15"/>
  <c r="F57" i="15" s="1"/>
  <c r="F350" i="15"/>
  <c r="F269" i="15"/>
  <c r="F190" i="15"/>
  <c r="F109" i="15"/>
  <c r="F32" i="15"/>
  <c r="F329" i="15"/>
  <c r="F336" i="15" s="1"/>
  <c r="F249" i="15"/>
  <c r="F256" i="15" s="1"/>
  <c r="F169" i="15"/>
  <c r="F176" i="15" s="1"/>
  <c r="F88" i="15"/>
  <c r="F95" i="15" s="1"/>
  <c r="F388" i="15"/>
  <c r="F395" i="15" s="1"/>
  <c r="F307" i="15"/>
  <c r="F314" i="15" s="1"/>
  <c r="F229" i="15"/>
  <c r="F236" i="15" s="1"/>
  <c r="F148" i="15"/>
  <c r="F155" i="15" s="1"/>
  <c r="F66" i="15"/>
  <c r="F73" i="15" s="1"/>
  <c r="F367" i="15"/>
  <c r="F286" i="15"/>
  <c r="F208" i="15"/>
  <c r="F126" i="15"/>
  <c r="F47" i="15"/>
  <c r="F186" i="15"/>
  <c r="F194" i="15" s="1"/>
  <c r="S68" i="13"/>
  <c r="T67" i="13"/>
  <c r="U66" i="13"/>
  <c r="V65" i="13"/>
  <c r="V72" i="13" s="1"/>
  <c r="W64" i="13"/>
  <c r="E347" i="15" s="1"/>
  <c r="G64" i="13"/>
  <c r="E29" i="15" s="1"/>
  <c r="X68" i="13"/>
  <c r="O68" i="13"/>
  <c r="P67" i="13"/>
  <c r="Q66" i="13"/>
  <c r="R65" i="13"/>
  <c r="R72" i="13" s="1"/>
  <c r="S64" i="13"/>
  <c r="E266" i="15" s="1"/>
  <c r="T63" i="13"/>
  <c r="X66" i="13"/>
  <c r="N65" i="13"/>
  <c r="N72" i="13" s="1"/>
  <c r="O64" i="13"/>
  <c r="E187" i="15" s="1"/>
  <c r="O63" i="13"/>
  <c r="O71" i="13" s="1"/>
  <c r="X64" i="13"/>
  <c r="E367" i="15" s="1"/>
  <c r="F67" i="13"/>
  <c r="E14" i="15" s="1"/>
  <c r="V68" i="13"/>
  <c r="R68" i="13"/>
  <c r="N68" i="13"/>
  <c r="J68" i="13"/>
  <c r="W67" i="13"/>
  <c r="S67" i="13"/>
  <c r="O67" i="13"/>
  <c r="K67" i="13"/>
  <c r="G67" i="13"/>
  <c r="T66" i="13"/>
  <c r="P66" i="13"/>
  <c r="L66" i="13"/>
  <c r="H66" i="13"/>
  <c r="U65" i="13"/>
  <c r="U72" i="13" s="1"/>
  <c r="Q65" i="13"/>
  <c r="Q72" i="13" s="1"/>
  <c r="M65" i="13"/>
  <c r="M72" i="13" s="1"/>
  <c r="I65" i="13"/>
  <c r="I72" i="13" s="1"/>
  <c r="V64" i="13"/>
  <c r="E327" i="15" s="1"/>
  <c r="R64" i="13"/>
  <c r="E247" i="15" s="1"/>
  <c r="N64" i="13"/>
  <c r="E167" i="15" s="1"/>
  <c r="J64" i="13"/>
  <c r="W63" i="13"/>
  <c r="W71" i="13" s="1"/>
  <c r="S63" i="13"/>
  <c r="M63" i="13"/>
  <c r="I63" i="13"/>
  <c r="Y67" i="13"/>
  <c r="Y65" i="13"/>
  <c r="Y72" i="13" s="1"/>
  <c r="Y63" i="13"/>
  <c r="Y71" i="13" s="1"/>
  <c r="Q63" i="13"/>
  <c r="Q71" i="13" s="1"/>
  <c r="F68" i="13"/>
  <c r="U68" i="13"/>
  <c r="Q68" i="13"/>
  <c r="M68" i="13"/>
  <c r="I68" i="13"/>
  <c r="V67" i="13"/>
  <c r="R67" i="13"/>
  <c r="N67" i="13"/>
  <c r="J67" i="13"/>
  <c r="W66" i="13"/>
  <c r="S66" i="13"/>
  <c r="O66" i="13"/>
  <c r="K66" i="13"/>
  <c r="G66" i="13"/>
  <c r="T65" i="13"/>
  <c r="T72" i="13" s="1"/>
  <c r="P65" i="13"/>
  <c r="P72" i="13" s="1"/>
  <c r="L65" i="13"/>
  <c r="L72" i="13" s="1"/>
  <c r="H65" i="13"/>
  <c r="H72" i="13" s="1"/>
  <c r="U64" i="13"/>
  <c r="E306" i="15" s="1"/>
  <c r="Q64" i="13"/>
  <c r="E228" i="15" s="1"/>
  <c r="M64" i="13"/>
  <c r="E147" i="15" s="1"/>
  <c r="I64" i="13"/>
  <c r="E65" i="15" s="1"/>
  <c r="V63" i="13"/>
  <c r="R63" i="13"/>
  <c r="R71" i="13" s="1"/>
  <c r="L63" i="13"/>
  <c r="L71" i="13" s="1"/>
  <c r="H63" i="13"/>
  <c r="H71" i="13" s="1"/>
  <c r="X67" i="13"/>
  <c r="X65" i="13"/>
  <c r="X72" i="13" s="1"/>
  <c r="X63" i="13"/>
  <c r="N63" i="13"/>
  <c r="N71" i="13" s="1"/>
  <c r="F65" i="13"/>
  <c r="T68" i="13"/>
  <c r="P68" i="13"/>
  <c r="L68" i="13"/>
  <c r="H68" i="13"/>
  <c r="U67" i="13"/>
  <c r="Q67" i="13"/>
  <c r="M67" i="13"/>
  <c r="I67" i="13"/>
  <c r="V66" i="13"/>
  <c r="R66" i="13"/>
  <c r="N66" i="13"/>
  <c r="J66" i="13"/>
  <c r="W65" i="13"/>
  <c r="W72" i="13" s="1"/>
  <c r="S65" i="13"/>
  <c r="S72" i="13" s="1"/>
  <c r="O65" i="13"/>
  <c r="O72" i="13" s="1"/>
  <c r="K65" i="13"/>
  <c r="K72" i="13" s="1"/>
  <c r="G65" i="13"/>
  <c r="G72" i="13" s="1"/>
  <c r="T64" i="13"/>
  <c r="E286" i="15" s="1"/>
  <c r="P64" i="13"/>
  <c r="E208" i="15" s="1"/>
  <c r="L64" i="13"/>
  <c r="E126" i="15" s="1"/>
  <c r="H64" i="13"/>
  <c r="E47" i="15" s="1"/>
  <c r="U63" i="13"/>
  <c r="U71" i="13" s="1"/>
  <c r="P63" i="13"/>
  <c r="K63" i="13"/>
  <c r="K71" i="13" s="1"/>
  <c r="Y68" i="13"/>
  <c r="Y66" i="13"/>
  <c r="Y64" i="13"/>
  <c r="E387" i="15" s="1"/>
  <c r="F64" i="13"/>
  <c r="F71" i="13" s="1"/>
  <c r="N26" i="1"/>
  <c r="R26" i="1"/>
  <c r="S26" i="1"/>
  <c r="C24" i="7"/>
  <c r="U24" i="7"/>
  <c r="L25" i="7"/>
  <c r="L31" i="7" s="1"/>
  <c r="L24" i="7"/>
  <c r="C25" i="7"/>
  <c r="C31" i="7" s="1"/>
  <c r="Y26" i="7"/>
  <c r="C26" i="11"/>
  <c r="L26" i="11"/>
  <c r="AB20" i="11"/>
  <c r="AB28" i="11" s="1"/>
  <c r="AB21" i="11"/>
  <c r="AB22" i="11"/>
  <c r="AB29" i="11" s="1"/>
  <c r="AB23" i="11"/>
  <c r="AB24" i="11"/>
  <c r="E20" i="7"/>
  <c r="J20" i="7"/>
  <c r="N20" i="7"/>
  <c r="R20" i="7"/>
  <c r="W20" i="7"/>
  <c r="AA20" i="7"/>
  <c r="AA28" i="7" s="1"/>
  <c r="D21" i="7"/>
  <c r="I21" i="7"/>
  <c r="M21" i="7"/>
  <c r="Q21" i="7"/>
  <c r="V21" i="7"/>
  <c r="Z21" i="7"/>
  <c r="D22" i="7"/>
  <c r="D29" i="7" s="1"/>
  <c r="I22" i="7"/>
  <c r="I29" i="7" s="1"/>
  <c r="M22" i="7"/>
  <c r="M29" i="7" s="1"/>
  <c r="Q22" i="7"/>
  <c r="Q29" i="7" s="1"/>
  <c r="V22" i="7"/>
  <c r="V29" i="7" s="1"/>
  <c r="Z22" i="7"/>
  <c r="Z29" i="7" s="1"/>
  <c r="D23" i="7"/>
  <c r="I23" i="7"/>
  <c r="M23" i="7"/>
  <c r="Q23" i="7"/>
  <c r="V23" i="7"/>
  <c r="Z23" i="7"/>
  <c r="D24" i="7"/>
  <c r="I24" i="7"/>
  <c r="M24" i="7"/>
  <c r="Q24" i="7"/>
  <c r="V24" i="7"/>
  <c r="Z24" i="7"/>
  <c r="D25" i="7"/>
  <c r="D31" i="7" s="1"/>
  <c r="I25" i="7"/>
  <c r="I31" i="7" s="1"/>
  <c r="M25" i="7"/>
  <c r="M31" i="7" s="1"/>
  <c r="Q25" i="7"/>
  <c r="Q31" i="7" s="1"/>
  <c r="V25" i="7"/>
  <c r="V31" i="7" s="1"/>
  <c r="Z25" i="7"/>
  <c r="Z31" i="7" s="1"/>
  <c r="F20" i="7"/>
  <c r="K20" i="7"/>
  <c r="O20" i="7"/>
  <c r="S20" i="7"/>
  <c r="X20" i="7"/>
  <c r="AB20" i="7"/>
  <c r="E21" i="7"/>
  <c r="J21" i="7"/>
  <c r="N21" i="7"/>
  <c r="R21" i="7"/>
  <c r="W21" i="7"/>
  <c r="AA21" i="7"/>
  <c r="E22" i="7"/>
  <c r="E29" i="7" s="1"/>
  <c r="J22" i="7"/>
  <c r="J29" i="7" s="1"/>
  <c r="N22" i="7"/>
  <c r="N29" i="7" s="1"/>
  <c r="R22" i="7"/>
  <c r="R29" i="7" s="1"/>
  <c r="W22" i="7"/>
  <c r="W29" i="7" s="1"/>
  <c r="AA22" i="7"/>
  <c r="AA29" i="7" s="1"/>
  <c r="E23" i="7"/>
  <c r="J23" i="7"/>
  <c r="N23" i="7"/>
  <c r="R23" i="7"/>
  <c r="W23" i="7"/>
  <c r="AA23" i="7"/>
  <c r="E24" i="7"/>
  <c r="J24" i="7"/>
  <c r="N24" i="7"/>
  <c r="R24" i="7"/>
  <c r="W24" i="7"/>
  <c r="AA24" i="7"/>
  <c r="E25" i="7"/>
  <c r="E31" i="7" s="1"/>
  <c r="J25" i="7"/>
  <c r="J31" i="7" s="1"/>
  <c r="N25" i="7"/>
  <c r="N31" i="7" s="1"/>
  <c r="R25" i="7"/>
  <c r="R31" i="7" s="1"/>
  <c r="W25" i="7"/>
  <c r="W31" i="7" s="1"/>
  <c r="AA25" i="7"/>
  <c r="AA31" i="7" s="1"/>
  <c r="F21" i="7"/>
  <c r="K21" i="7"/>
  <c r="O21" i="7"/>
  <c r="S21" i="7"/>
  <c r="X21" i="7"/>
  <c r="AB21" i="7"/>
  <c r="F22" i="7"/>
  <c r="F29" i="7" s="1"/>
  <c r="K22" i="7"/>
  <c r="K29" i="7" s="1"/>
  <c r="O22" i="7"/>
  <c r="O29" i="7" s="1"/>
  <c r="S22" i="7"/>
  <c r="S29" i="7" s="1"/>
  <c r="X22" i="7"/>
  <c r="X29" i="7" s="1"/>
  <c r="AB22" i="7"/>
  <c r="AB29" i="7" s="1"/>
  <c r="F23" i="7"/>
  <c r="K23" i="7"/>
  <c r="O23" i="7"/>
  <c r="S23" i="7"/>
  <c r="X23" i="7"/>
  <c r="AB23" i="7"/>
  <c r="AB30" i="7" s="1"/>
  <c r="F24" i="7"/>
  <c r="K24" i="7"/>
  <c r="O24" i="7"/>
  <c r="S24" i="7"/>
  <c r="X24" i="7"/>
  <c r="AB24" i="7"/>
  <c r="F25" i="7"/>
  <c r="F31" i="7" s="1"/>
  <c r="K25" i="7"/>
  <c r="K31" i="7" s="1"/>
  <c r="O25" i="7"/>
  <c r="O31" i="7" s="1"/>
  <c r="S25" i="7"/>
  <c r="S31" i="7" s="1"/>
  <c r="X25" i="7"/>
  <c r="X31" i="7" s="1"/>
  <c r="Y26" i="8"/>
  <c r="C26" i="8"/>
  <c r="K26" i="1"/>
  <c r="E108" i="15" l="1"/>
  <c r="K73" i="13"/>
  <c r="L75" i="13"/>
  <c r="E149" i="15"/>
  <c r="M73" i="13"/>
  <c r="G32" i="8"/>
  <c r="E270" i="15"/>
  <c r="E276" i="15" s="1"/>
  <c r="G276" i="15" s="1"/>
  <c r="S74" i="13"/>
  <c r="C32" i="11"/>
  <c r="Z32" i="9"/>
  <c r="T71" i="13"/>
  <c r="T75" i="13" s="1"/>
  <c r="L31" i="2"/>
  <c r="L32" i="2" s="1"/>
  <c r="L26" i="2"/>
  <c r="G296" i="15"/>
  <c r="I30" i="2"/>
  <c r="I26" i="2"/>
  <c r="W32" i="6"/>
  <c r="R32" i="6"/>
  <c r="Y31" i="11"/>
  <c r="Y32" i="11" s="1"/>
  <c r="Y26" i="11"/>
  <c r="E73" i="16"/>
  <c r="F46" i="12"/>
  <c r="F48" i="12" s="1"/>
  <c r="Q32" i="5"/>
  <c r="O28" i="6"/>
  <c r="O32" i="6" s="1"/>
  <c r="Z32" i="11"/>
  <c r="P28" i="11"/>
  <c r="P32" i="11" s="1"/>
  <c r="F28" i="11"/>
  <c r="D28" i="9"/>
  <c r="AB28" i="9"/>
  <c r="AB32" i="9" s="1"/>
  <c r="O28" i="9"/>
  <c r="O32" i="9" s="1"/>
  <c r="L30" i="9"/>
  <c r="X28" i="9"/>
  <c r="X32" i="9" s="1"/>
  <c r="Y32" i="10"/>
  <c r="AB30" i="10"/>
  <c r="N30" i="10"/>
  <c r="V28" i="1"/>
  <c r="K32" i="1"/>
  <c r="P30" i="1"/>
  <c r="P32" i="1" s="1"/>
  <c r="J30" i="1"/>
  <c r="G30" i="1"/>
  <c r="M30" i="3"/>
  <c r="M32" i="3" s="1"/>
  <c r="W32" i="3"/>
  <c r="P32" i="3"/>
  <c r="K30" i="3"/>
  <c r="V30" i="3"/>
  <c r="F32" i="3"/>
  <c r="E189" i="15"/>
  <c r="O73" i="13"/>
  <c r="O75" i="13" s="1"/>
  <c r="U32" i="10"/>
  <c r="V32" i="3"/>
  <c r="E130" i="15"/>
  <c r="E136" i="15" s="1"/>
  <c r="L74" i="13"/>
  <c r="S32" i="2"/>
  <c r="R32" i="2"/>
  <c r="E389" i="15"/>
  <c r="Y73" i="13"/>
  <c r="Y75" i="13" s="1"/>
  <c r="AB30" i="6"/>
  <c r="Q32" i="11"/>
  <c r="AB32" i="11"/>
  <c r="S32" i="9"/>
  <c r="Q28" i="9"/>
  <c r="Q32" i="9" s="1"/>
  <c r="D28" i="10"/>
  <c r="D32" i="10" s="1"/>
  <c r="P30" i="10"/>
  <c r="P32" i="10" s="1"/>
  <c r="V32" i="1"/>
  <c r="J32" i="3"/>
  <c r="D28" i="3"/>
  <c r="D32" i="3" s="1"/>
  <c r="K30" i="7"/>
  <c r="J28" i="7"/>
  <c r="E391" i="15"/>
  <c r="E397" i="15" s="1"/>
  <c r="Y74" i="13"/>
  <c r="E290" i="15"/>
  <c r="E296" i="15" s="1"/>
  <c r="T74" i="13"/>
  <c r="I71" i="13"/>
  <c r="I75" i="13" s="1"/>
  <c r="E49" i="15"/>
  <c r="H73" i="13"/>
  <c r="E331" i="15"/>
  <c r="E337" i="15" s="1"/>
  <c r="V74" i="13"/>
  <c r="E191" i="15"/>
  <c r="E197" i="15" s="1"/>
  <c r="G197" i="15" s="1"/>
  <c r="O74" i="13"/>
  <c r="E33" i="15"/>
  <c r="E39" i="15" s="1"/>
  <c r="G74" i="13"/>
  <c r="F18" i="16"/>
  <c r="E75" i="16"/>
  <c r="E81" i="16" s="1"/>
  <c r="F47" i="12"/>
  <c r="E111" i="16"/>
  <c r="I46" i="12"/>
  <c r="K28" i="2"/>
  <c r="K32" i="2" s="1"/>
  <c r="J28" i="2"/>
  <c r="J32" i="2" s="1"/>
  <c r="I28" i="2"/>
  <c r="G28" i="2"/>
  <c r="G32" i="2" s="1"/>
  <c r="E28" i="4"/>
  <c r="E32" i="4" s="1"/>
  <c r="D28" i="4"/>
  <c r="J32" i="4"/>
  <c r="G28" i="4"/>
  <c r="G32" i="4" s="1"/>
  <c r="F28" i="4"/>
  <c r="F32" i="4" s="1"/>
  <c r="E28" i="5"/>
  <c r="D28" i="5"/>
  <c r="D32" i="5" s="1"/>
  <c r="J32" i="5"/>
  <c r="G28" i="5"/>
  <c r="G32" i="5" s="1"/>
  <c r="I32" i="5"/>
  <c r="F28" i="5"/>
  <c r="F32" i="5" s="1"/>
  <c r="S30" i="6"/>
  <c r="S32" i="6" s="1"/>
  <c r="F28" i="6"/>
  <c r="M28" i="11"/>
  <c r="G28" i="11"/>
  <c r="G32" i="11" s="1"/>
  <c r="E30" i="9"/>
  <c r="X30" i="9"/>
  <c r="Y30" i="9"/>
  <c r="U30" i="9"/>
  <c r="R28" i="9"/>
  <c r="R32" i="9" s="1"/>
  <c r="E28" i="9"/>
  <c r="I28" i="10"/>
  <c r="I32" i="10" s="1"/>
  <c r="Q30" i="10"/>
  <c r="W30" i="10"/>
  <c r="Y30" i="1"/>
  <c r="J32" i="1"/>
  <c r="K30" i="1"/>
  <c r="D30" i="1"/>
  <c r="F32" i="1"/>
  <c r="O32" i="8"/>
  <c r="D28" i="8"/>
  <c r="D32" i="8" s="1"/>
  <c r="L30" i="3"/>
  <c r="R28" i="3"/>
  <c r="R32" i="3" s="1"/>
  <c r="C28" i="3"/>
  <c r="C32" i="3" s="1"/>
  <c r="D32" i="4"/>
  <c r="Z32" i="2"/>
  <c r="V32" i="4"/>
  <c r="G32" i="6"/>
  <c r="U32" i="11"/>
  <c r="U32" i="1"/>
  <c r="S30" i="3"/>
  <c r="S32" i="3" s="1"/>
  <c r="E171" i="15"/>
  <c r="E177" i="15" s="1"/>
  <c r="N74" i="13"/>
  <c r="G40" i="16"/>
  <c r="E251" i="15"/>
  <c r="E257" i="15" s="1"/>
  <c r="R74" i="13"/>
  <c r="F135" i="15"/>
  <c r="G135" i="15" s="1"/>
  <c r="K32" i="5"/>
  <c r="K28" i="6"/>
  <c r="K32" i="6" s="1"/>
  <c r="L28" i="11"/>
  <c r="L32" i="11" s="1"/>
  <c r="F32" i="11"/>
  <c r="I32" i="9"/>
  <c r="K32" i="9"/>
  <c r="AA30" i="1"/>
  <c r="N26" i="2"/>
  <c r="K75" i="13"/>
  <c r="E88" i="15"/>
  <c r="J73" i="13"/>
  <c r="J75" i="13" s="1"/>
  <c r="M71" i="13"/>
  <c r="E128" i="15"/>
  <c r="E135" i="15" s="1"/>
  <c r="L73" i="13"/>
  <c r="E371" i="15"/>
  <c r="E377" i="15" s="1"/>
  <c r="G377" i="15" s="1"/>
  <c r="X74" i="13"/>
  <c r="E150" i="16"/>
  <c r="E156" i="16" s="1"/>
  <c r="K47" i="12"/>
  <c r="E94" i="16"/>
  <c r="E100" i="16" s="1"/>
  <c r="G47" i="12"/>
  <c r="E51" i="16"/>
  <c r="E46" i="12"/>
  <c r="E48" i="12" s="1"/>
  <c r="F28" i="2"/>
  <c r="F32" i="2" s="1"/>
  <c r="E28" i="2"/>
  <c r="E32" i="2" s="1"/>
  <c r="D28" i="2"/>
  <c r="D32" i="2" s="1"/>
  <c r="C30" i="4"/>
  <c r="C32" i="4" s="1"/>
  <c r="C30" i="5"/>
  <c r="C32" i="5" s="1"/>
  <c r="E32" i="5"/>
  <c r="Y30" i="6"/>
  <c r="Y32" i="6" s="1"/>
  <c r="X30" i="6"/>
  <c r="R32" i="11"/>
  <c r="N28" i="11"/>
  <c r="N32" i="11" s="1"/>
  <c r="I32" i="11"/>
  <c r="C30" i="11"/>
  <c r="Z30" i="11"/>
  <c r="G30" i="7"/>
  <c r="G140" i="13"/>
  <c r="D30" i="9"/>
  <c r="R30" i="9"/>
  <c r="F30" i="9"/>
  <c r="M28" i="9"/>
  <c r="C32" i="9"/>
  <c r="V28" i="10"/>
  <c r="V32" i="10" s="1"/>
  <c r="X30" i="10"/>
  <c r="I30" i="10"/>
  <c r="P28" i="1"/>
  <c r="X28" i="1"/>
  <c r="X32" i="1" s="1"/>
  <c r="AA32" i="1"/>
  <c r="AB30" i="8"/>
  <c r="AB32" i="8" s="1"/>
  <c r="D30" i="8"/>
  <c r="Y30" i="3"/>
  <c r="Y32" i="3" s="1"/>
  <c r="Z28" i="3"/>
  <c r="Z32" i="3" s="1"/>
  <c r="X28" i="6"/>
  <c r="X32" i="6" s="1"/>
  <c r="F32" i="6"/>
  <c r="P71" i="13"/>
  <c r="Y30" i="5"/>
  <c r="AB30" i="5"/>
  <c r="AB32" i="5" s="1"/>
  <c r="AA30" i="5"/>
  <c r="AA32" i="5" s="1"/>
  <c r="V30" i="6"/>
  <c r="V32" i="6" s="1"/>
  <c r="U30" i="6"/>
  <c r="U32" i="6" s="1"/>
  <c r="O30" i="6"/>
  <c r="X32" i="8"/>
  <c r="J28" i="11"/>
  <c r="D28" i="11"/>
  <c r="D32" i="11" s="1"/>
  <c r="P28" i="9"/>
  <c r="P32" i="9" s="1"/>
  <c r="L28" i="9"/>
  <c r="J30" i="10"/>
  <c r="J32" i="10" s="1"/>
  <c r="C28" i="1"/>
  <c r="C32" i="1" s="1"/>
  <c r="O28" i="3"/>
  <c r="D30" i="3"/>
  <c r="G32" i="3"/>
  <c r="M28" i="3"/>
  <c r="K28" i="3"/>
  <c r="K32" i="3" s="1"/>
  <c r="R75" i="13"/>
  <c r="E110" i="15"/>
  <c r="E116" i="15" s="1"/>
  <c r="G116" i="15" s="1"/>
  <c r="K74" i="13"/>
  <c r="W32" i="4"/>
  <c r="V32" i="9"/>
  <c r="G32" i="10"/>
  <c r="E51" i="15"/>
  <c r="E57" i="15" s="1"/>
  <c r="G57" i="15" s="1"/>
  <c r="H74" i="13"/>
  <c r="E90" i="15"/>
  <c r="E96" i="15" s="1"/>
  <c r="J74" i="13"/>
  <c r="E148" i="16"/>
  <c r="K46" i="12"/>
  <c r="AB32" i="6"/>
  <c r="O28" i="10"/>
  <c r="O32" i="10" s="1"/>
  <c r="I30" i="8"/>
  <c r="I32" i="8" s="1"/>
  <c r="E349" i="15"/>
  <c r="W73" i="13"/>
  <c r="W75" i="13" s="1"/>
  <c r="E169" i="16"/>
  <c r="L46" i="12"/>
  <c r="Q26" i="2"/>
  <c r="E212" i="15"/>
  <c r="E218" i="15" s="1"/>
  <c r="G218" i="15" s="1"/>
  <c r="P74" i="13"/>
  <c r="E67" i="15"/>
  <c r="I73" i="13"/>
  <c r="G337" i="15"/>
  <c r="K32" i="4"/>
  <c r="E13" i="16"/>
  <c r="C46" i="12"/>
  <c r="C48" i="12" s="1"/>
  <c r="AB30" i="2"/>
  <c r="Z30" i="4"/>
  <c r="Z32" i="4" s="1"/>
  <c r="Y30" i="4"/>
  <c r="Y32" i="4" s="1"/>
  <c r="AA30" i="4"/>
  <c r="AA32" i="4" s="1"/>
  <c r="Z30" i="5"/>
  <c r="AB30" i="11"/>
  <c r="X71" i="13"/>
  <c r="X75" i="13" s="1"/>
  <c r="E69" i="15"/>
  <c r="E75" i="15" s="1"/>
  <c r="I74" i="13"/>
  <c r="E288" i="15"/>
  <c r="T73" i="13"/>
  <c r="F174" i="15"/>
  <c r="D179" i="15" s="1"/>
  <c r="F178" i="15" s="1"/>
  <c r="K44" i="12"/>
  <c r="K48" i="12" s="1"/>
  <c r="G44" i="12"/>
  <c r="E34" i="16"/>
  <c r="E40" i="16" s="1"/>
  <c r="D47" i="12"/>
  <c r="AA30" i="2"/>
  <c r="AB32" i="2"/>
  <c r="Z30" i="2"/>
  <c r="Y30" i="2"/>
  <c r="Y32" i="2" s="1"/>
  <c r="X30" i="2"/>
  <c r="X32" i="2" s="1"/>
  <c r="V30" i="4"/>
  <c r="U30" i="4"/>
  <c r="U32" i="4" s="1"/>
  <c r="X30" i="4"/>
  <c r="X32" i="4" s="1"/>
  <c r="W30" i="4"/>
  <c r="V30" i="5"/>
  <c r="V32" i="5" s="1"/>
  <c r="U30" i="5"/>
  <c r="U32" i="5" s="1"/>
  <c r="X30" i="5"/>
  <c r="X32" i="5" s="1"/>
  <c r="W30" i="5"/>
  <c r="M30" i="6"/>
  <c r="M32" i="6" s="1"/>
  <c r="P30" i="6"/>
  <c r="Z30" i="6"/>
  <c r="W30" i="6"/>
  <c r="J32" i="11"/>
  <c r="E28" i="11"/>
  <c r="E32" i="11" s="1"/>
  <c r="AA32" i="11"/>
  <c r="Q30" i="11"/>
  <c r="W28" i="9"/>
  <c r="W32" i="9" s="1"/>
  <c r="Z30" i="9"/>
  <c r="Z28" i="10"/>
  <c r="Z32" i="10" s="1"/>
  <c r="L30" i="10"/>
  <c r="X28" i="10"/>
  <c r="R30" i="1"/>
  <c r="R32" i="1" s="1"/>
  <c r="Y28" i="1"/>
  <c r="Z28" i="1"/>
  <c r="Z32" i="1" s="1"/>
  <c r="S28" i="1"/>
  <c r="S32" i="1" s="1"/>
  <c r="Q28" i="1"/>
  <c r="M28" i="8"/>
  <c r="M32" i="8" s="1"/>
  <c r="N28" i="8"/>
  <c r="N32" i="8" s="1"/>
  <c r="AB32" i="3"/>
  <c r="X30" i="3"/>
  <c r="C30" i="3"/>
  <c r="E268" i="15"/>
  <c r="S73" i="13"/>
  <c r="E92" i="16"/>
  <c r="G46" i="12"/>
  <c r="F235" i="15"/>
  <c r="D240" i="15" s="1"/>
  <c r="F239" i="15" s="1"/>
  <c r="E32" i="16"/>
  <c r="D46" i="12"/>
  <c r="N32" i="4"/>
  <c r="N75" i="13"/>
  <c r="E210" i="15"/>
  <c r="P73" i="13"/>
  <c r="E171" i="16"/>
  <c r="E177" i="16" s="1"/>
  <c r="L47" i="12"/>
  <c r="L48" i="12" s="1"/>
  <c r="E129" i="16"/>
  <c r="E136" i="16" s="1"/>
  <c r="J46" i="12"/>
  <c r="J48" i="12" s="1"/>
  <c r="AB30" i="4"/>
  <c r="AB32" i="4" s="1"/>
  <c r="D26" i="8"/>
  <c r="E249" i="15"/>
  <c r="R73" i="13"/>
  <c r="R30" i="7"/>
  <c r="Q30" i="7"/>
  <c r="AB26" i="1"/>
  <c r="E329" i="15"/>
  <c r="V73" i="13"/>
  <c r="E151" i="15"/>
  <c r="E157" i="15" s="1"/>
  <c r="M74" i="13"/>
  <c r="F156" i="15"/>
  <c r="L44" i="12"/>
  <c r="E113" i="16"/>
  <c r="E119" i="16" s="1"/>
  <c r="G119" i="16" s="1"/>
  <c r="I47" i="12"/>
  <c r="W30" i="2"/>
  <c r="W32" i="2" s="1"/>
  <c r="V30" i="2"/>
  <c r="U30" i="2"/>
  <c r="U32" i="2" s="1"/>
  <c r="S30" i="2"/>
  <c r="Q30" i="4"/>
  <c r="Q32" i="4" s="1"/>
  <c r="P30" i="4"/>
  <c r="S30" i="4"/>
  <c r="S32" i="4" s="1"/>
  <c r="R30" i="4"/>
  <c r="R32" i="4" s="1"/>
  <c r="Q30" i="5"/>
  <c r="P30" i="5"/>
  <c r="P32" i="5" s="1"/>
  <c r="S30" i="5"/>
  <c r="S32" i="5" s="1"/>
  <c r="R30" i="5"/>
  <c r="R32" i="5" s="1"/>
  <c r="L30" i="6"/>
  <c r="F30" i="6"/>
  <c r="Q30" i="6"/>
  <c r="Q32" i="6" s="1"/>
  <c r="R30" i="6"/>
  <c r="W30" i="11"/>
  <c r="W32" i="11" s="1"/>
  <c r="M30" i="11"/>
  <c r="W30" i="8"/>
  <c r="W32" i="8" s="1"/>
  <c r="AA32" i="8"/>
  <c r="G30" i="9"/>
  <c r="Y28" i="9"/>
  <c r="Y32" i="9" s="1"/>
  <c r="U28" i="9"/>
  <c r="AA30" i="9"/>
  <c r="AA32" i="9" s="1"/>
  <c r="U30" i="10"/>
  <c r="L28" i="10"/>
  <c r="L32" i="10" s="1"/>
  <c r="R30" i="10"/>
  <c r="F28" i="10"/>
  <c r="F32" i="10" s="1"/>
  <c r="S28" i="10"/>
  <c r="S32" i="10" s="1"/>
  <c r="Q28" i="10"/>
  <c r="Q32" i="10" s="1"/>
  <c r="K28" i="10"/>
  <c r="K32" i="10" s="1"/>
  <c r="L28" i="1"/>
  <c r="O28" i="1"/>
  <c r="O32" i="1" s="1"/>
  <c r="V30" i="1"/>
  <c r="I28" i="1"/>
  <c r="M28" i="1"/>
  <c r="M32" i="1" s="1"/>
  <c r="F28" i="1"/>
  <c r="D28" i="1"/>
  <c r="L28" i="8"/>
  <c r="L32" i="8" s="1"/>
  <c r="O30" i="3"/>
  <c r="E30" i="3"/>
  <c r="E32" i="3" s="1"/>
  <c r="L32" i="3"/>
  <c r="G26" i="8"/>
  <c r="AA32" i="2"/>
  <c r="W32" i="5"/>
  <c r="G32" i="9"/>
  <c r="K28" i="11"/>
  <c r="K32" i="11" s="1"/>
  <c r="I30" i="1"/>
  <c r="E230" i="15"/>
  <c r="Q73" i="13"/>
  <c r="V32" i="2"/>
  <c r="N32" i="2"/>
  <c r="E169" i="15"/>
  <c r="N73" i="13"/>
  <c r="S71" i="13"/>
  <c r="S75" i="13" s="1"/>
  <c r="E232" i="15"/>
  <c r="E238" i="15" s="1"/>
  <c r="G238" i="15" s="1"/>
  <c r="Q74" i="13"/>
  <c r="Q75" i="13" s="1"/>
  <c r="E308" i="15"/>
  <c r="U73" i="13"/>
  <c r="D44" i="12"/>
  <c r="E15" i="16"/>
  <c r="E21" i="16" s="1"/>
  <c r="G21" i="16" s="1"/>
  <c r="C47" i="12"/>
  <c r="E53" i="16"/>
  <c r="E59" i="16" s="1"/>
  <c r="G59" i="16" s="1"/>
  <c r="E47" i="12"/>
  <c r="R30" i="2"/>
  <c r="Q30" i="2"/>
  <c r="Q32" i="2" s="1"/>
  <c r="P30" i="2"/>
  <c r="M30" i="4"/>
  <c r="M32" i="4" s="1"/>
  <c r="O30" i="4"/>
  <c r="O32" i="4" s="1"/>
  <c r="P32" i="4"/>
  <c r="N30" i="4"/>
  <c r="M30" i="5"/>
  <c r="M32" i="5" s="1"/>
  <c r="L32" i="5"/>
  <c r="O30" i="5"/>
  <c r="O32" i="5" s="1"/>
  <c r="N30" i="5"/>
  <c r="N32" i="5" s="1"/>
  <c r="I30" i="6"/>
  <c r="I32" i="6" s="1"/>
  <c r="P32" i="6"/>
  <c r="X30" i="11"/>
  <c r="J28" i="9"/>
  <c r="J32" i="9" s="1"/>
  <c r="F32" i="9"/>
  <c r="N30" i="9"/>
  <c r="N32" i="9" s="1"/>
  <c r="R32" i="10"/>
  <c r="AA32" i="10"/>
  <c r="E28" i="10"/>
  <c r="E32" i="10" s="1"/>
  <c r="Q30" i="1"/>
  <c r="Q32" i="1" s="1"/>
  <c r="G32" i="1"/>
  <c r="AB32" i="1"/>
  <c r="X30" i="1"/>
  <c r="D240" i="14"/>
  <c r="D202" i="14"/>
  <c r="D164" i="14"/>
  <c r="D278" i="14"/>
  <c r="D317" i="14"/>
  <c r="D324" i="14" s="1"/>
  <c r="D356" i="14"/>
  <c r="D394" i="14"/>
  <c r="D432" i="14"/>
  <c r="D126" i="14"/>
  <c r="D86" i="14"/>
  <c r="D48" i="14"/>
  <c r="D12" i="14"/>
  <c r="D238" i="14"/>
  <c r="D200" i="14"/>
  <c r="D162" i="14"/>
  <c r="D276" i="14"/>
  <c r="D315" i="14"/>
  <c r="D354" i="14"/>
  <c r="D392" i="14"/>
  <c r="D430" i="14"/>
  <c r="D124" i="14"/>
  <c r="D84" i="14"/>
  <c r="D46" i="14"/>
  <c r="D10" i="14"/>
  <c r="D237" i="14"/>
  <c r="D245" i="14" s="1"/>
  <c r="D199" i="14"/>
  <c r="D207" i="14" s="1"/>
  <c r="D161" i="14"/>
  <c r="D169" i="14" s="1"/>
  <c r="D275" i="14"/>
  <c r="D314" i="14"/>
  <c r="D353" i="14"/>
  <c r="D361" i="14" s="1"/>
  <c r="D391" i="14"/>
  <c r="D429" i="14"/>
  <c r="D123" i="14"/>
  <c r="D83" i="14"/>
  <c r="D91" i="14" s="1"/>
  <c r="D45" i="14"/>
  <c r="D53" i="14" s="1"/>
  <c r="D9" i="14"/>
  <c r="D261" i="14"/>
  <c r="D267" i="14" s="1"/>
  <c r="D223" i="14"/>
  <c r="D229" i="14" s="1"/>
  <c r="D185" i="14"/>
  <c r="D191" i="14" s="1"/>
  <c r="D147" i="14"/>
  <c r="D153" i="14" s="1"/>
  <c r="D299" i="14"/>
  <c r="D305" i="14" s="1"/>
  <c r="D339" i="14"/>
  <c r="D345" i="14" s="1"/>
  <c r="D377" i="14"/>
  <c r="D415" i="14"/>
  <c r="D453" i="14"/>
  <c r="D108" i="14"/>
  <c r="D114" i="14" s="1"/>
  <c r="D69" i="14"/>
  <c r="D75" i="14" s="1"/>
  <c r="D31" i="14"/>
  <c r="D37" i="14" s="1"/>
  <c r="D241" i="14"/>
  <c r="D203" i="14"/>
  <c r="D165" i="14"/>
  <c r="D279" i="14"/>
  <c r="D318" i="14"/>
  <c r="D357" i="14"/>
  <c r="D395" i="14"/>
  <c r="D433" i="14"/>
  <c r="D127" i="14"/>
  <c r="D87" i="14"/>
  <c r="D49" i="14"/>
  <c r="D13" i="14"/>
  <c r="D222" i="14"/>
  <c r="D166" i="14"/>
  <c r="D172" i="14" s="1"/>
  <c r="D295" i="14"/>
  <c r="D375" i="14"/>
  <c r="D431" i="14"/>
  <c r="D103" i="14"/>
  <c r="D111" i="14" s="1"/>
  <c r="D28" i="14"/>
  <c r="D35" i="14" s="1"/>
  <c r="D221" i="14"/>
  <c r="D163" i="14"/>
  <c r="D170" i="14" s="1"/>
  <c r="D294" i="14"/>
  <c r="D374" i="14"/>
  <c r="D452" i="14"/>
  <c r="D220" i="14"/>
  <c r="D227" i="14" s="1"/>
  <c r="D146" i="14"/>
  <c r="D319" i="14"/>
  <c r="D373" i="14"/>
  <c r="D451" i="14"/>
  <c r="D458" i="14" s="1"/>
  <c r="D219" i="14"/>
  <c r="D145" i="14"/>
  <c r="D316" i="14"/>
  <c r="D372" i="14"/>
  <c r="D450" i="14"/>
  <c r="D68" i="14"/>
  <c r="D14" i="14"/>
  <c r="D218" i="14"/>
  <c r="D144" i="14"/>
  <c r="D151" i="14" s="1"/>
  <c r="D338" i="14"/>
  <c r="D396" i="14"/>
  <c r="D449" i="14"/>
  <c r="D67" i="14"/>
  <c r="D74" i="14" s="1"/>
  <c r="D11" i="14"/>
  <c r="D260" i="14"/>
  <c r="D204" i="14"/>
  <c r="D210" i="14" s="1"/>
  <c r="D143" i="14"/>
  <c r="D337" i="14"/>
  <c r="D344" i="14" s="1"/>
  <c r="D393" i="14"/>
  <c r="D448" i="14"/>
  <c r="D66" i="14"/>
  <c r="D73" i="14" s="1"/>
  <c r="D259" i="14"/>
  <c r="D266" i="14" s="1"/>
  <c r="D201" i="14"/>
  <c r="D208" i="14" s="1"/>
  <c r="D142" i="14"/>
  <c r="D150" i="14" s="1"/>
  <c r="D336" i="14"/>
  <c r="D343" i="14" s="1"/>
  <c r="D414" i="14"/>
  <c r="D128" i="14"/>
  <c r="D134" i="14" s="1"/>
  <c r="D65" i="14"/>
  <c r="D257" i="14"/>
  <c r="D183" i="14"/>
  <c r="D277" i="14"/>
  <c r="D334" i="14"/>
  <c r="D412" i="14"/>
  <c r="D107" i="14"/>
  <c r="D50" i="14"/>
  <c r="D56" i="14" s="1"/>
  <c r="D256" i="14"/>
  <c r="D264" i="14" s="1"/>
  <c r="D182" i="14"/>
  <c r="D189" i="14" s="1"/>
  <c r="D298" i="14"/>
  <c r="D358" i="14"/>
  <c r="D411" i="14"/>
  <c r="D106" i="14"/>
  <c r="D113" i="14" s="1"/>
  <c r="D47" i="14"/>
  <c r="D54" i="14" s="1"/>
  <c r="D280" i="14"/>
  <c r="D88" i="14"/>
  <c r="D94" i="14" s="1"/>
  <c r="D297" i="14"/>
  <c r="D85" i="14"/>
  <c r="D92" i="14" s="1"/>
  <c r="D296" i="14"/>
  <c r="D303" i="14" s="1"/>
  <c r="D64" i="14"/>
  <c r="D72" i="14" s="1"/>
  <c r="D335" i="14"/>
  <c r="D30" i="14"/>
  <c r="D376" i="14"/>
  <c r="D27" i="14"/>
  <c r="D258" i="14"/>
  <c r="D265" i="14" s="1"/>
  <c r="D413" i="14"/>
  <c r="D420" i="14" s="1"/>
  <c r="D26" i="14"/>
  <c r="D242" i="14"/>
  <c r="D248" i="14" s="1"/>
  <c r="D410" i="14"/>
  <c r="D239" i="14"/>
  <c r="D246" i="14" s="1"/>
  <c r="D434" i="14"/>
  <c r="D440" i="14" s="1"/>
  <c r="D184" i="14"/>
  <c r="D125" i="14"/>
  <c r="D132" i="14" s="1"/>
  <c r="D181" i="14"/>
  <c r="D180" i="14"/>
  <c r="D188" i="14" s="1"/>
  <c r="D355" i="14"/>
  <c r="D362" i="14" s="1"/>
  <c r="D105" i="14"/>
  <c r="D112" i="14" s="1"/>
  <c r="D104" i="14"/>
  <c r="D29" i="14"/>
  <c r="D36" i="14" s="1"/>
  <c r="U28" i="3"/>
  <c r="U32" i="3" s="1"/>
  <c r="AA28" i="3"/>
  <c r="AA32" i="3" s="1"/>
  <c r="N32" i="10"/>
  <c r="Y32" i="5"/>
  <c r="Z32" i="5"/>
  <c r="V71" i="13"/>
  <c r="C30" i="10"/>
  <c r="C32" i="10" s="1"/>
  <c r="D32" i="1"/>
  <c r="X32" i="3"/>
  <c r="P26" i="8"/>
  <c r="H75" i="13"/>
  <c r="E31" i="15"/>
  <c r="E38" i="15" s="1"/>
  <c r="G73" i="13"/>
  <c r="G75" i="13" s="1"/>
  <c r="E310" i="15"/>
  <c r="E316" i="15" s="1"/>
  <c r="U74" i="13"/>
  <c r="U75" i="13" s="1"/>
  <c r="E369" i="15"/>
  <c r="X73" i="13"/>
  <c r="I44" i="12"/>
  <c r="I48" i="12" s="1"/>
  <c r="E131" i="16"/>
  <c r="E137" i="16" s="1"/>
  <c r="G137" i="16" s="1"/>
  <c r="J47" i="12"/>
  <c r="U26" i="10"/>
  <c r="P32" i="2"/>
  <c r="M32" i="2"/>
  <c r="I32" i="4"/>
  <c r="L32" i="4"/>
  <c r="Z28" i="6"/>
  <c r="Z32" i="6" s="1"/>
  <c r="D32" i="6"/>
  <c r="L32" i="6"/>
  <c r="Y30" i="11"/>
  <c r="X32" i="11"/>
  <c r="S30" i="11"/>
  <c r="S32" i="11" s="1"/>
  <c r="P28" i="7"/>
  <c r="P32" i="7" s="1"/>
  <c r="J28" i="8"/>
  <c r="J32" i="8" s="1"/>
  <c r="M30" i="9"/>
  <c r="Z28" i="8"/>
  <c r="Z32" i="8" s="1"/>
  <c r="W32" i="10"/>
  <c r="AB28" i="10"/>
  <c r="AB32" i="10" s="1"/>
  <c r="M32" i="10"/>
  <c r="W28" i="1"/>
  <c r="W32" i="1" s="1"/>
  <c r="E32" i="1"/>
  <c r="L32" i="1"/>
  <c r="S140" i="13"/>
  <c r="S30" i="8"/>
  <c r="S32" i="8" s="1"/>
  <c r="AB28" i="7"/>
  <c r="AB32" i="7" s="1"/>
  <c r="K28" i="7"/>
  <c r="K32" i="7" s="1"/>
  <c r="P26" i="7"/>
  <c r="P30" i="7"/>
  <c r="I28" i="7"/>
  <c r="G28" i="7"/>
  <c r="G32" i="7" s="1"/>
  <c r="D28" i="7"/>
  <c r="X30" i="7"/>
  <c r="F30" i="7"/>
  <c r="N30" i="7"/>
  <c r="X28" i="7"/>
  <c r="X32" i="7" s="1"/>
  <c r="F28" i="7"/>
  <c r="M30" i="7"/>
  <c r="W28" i="7"/>
  <c r="E28" i="7"/>
  <c r="E32" i="7" s="1"/>
  <c r="U30" i="7"/>
  <c r="S30" i="7"/>
  <c r="AA30" i="7"/>
  <c r="AA32" i="7" s="1"/>
  <c r="J30" i="7"/>
  <c r="J32" i="7" s="1"/>
  <c r="S28" i="7"/>
  <c r="Z30" i="7"/>
  <c r="I30" i="7"/>
  <c r="R28" i="7"/>
  <c r="R32" i="7" s="1"/>
  <c r="L30" i="7"/>
  <c r="Z28" i="7"/>
  <c r="Y32" i="7"/>
  <c r="C30" i="7"/>
  <c r="C32" i="7" s="1"/>
  <c r="V28" i="7"/>
  <c r="U28" i="7"/>
  <c r="O30" i="7"/>
  <c r="W30" i="7"/>
  <c r="E30" i="7"/>
  <c r="O28" i="7"/>
  <c r="V30" i="7"/>
  <c r="D30" i="7"/>
  <c r="N28" i="7"/>
  <c r="Q28" i="7"/>
  <c r="Q32" i="7" s="1"/>
  <c r="M28" i="7"/>
  <c r="L28" i="7"/>
  <c r="L32" i="7" s="1"/>
  <c r="F134" i="16"/>
  <c r="F20" i="16"/>
  <c r="D23" i="16" s="1"/>
  <c r="F22" i="16" s="1"/>
  <c r="F176" i="16"/>
  <c r="G177" i="16"/>
  <c r="A30" i="16"/>
  <c r="F56" i="16"/>
  <c r="G56" i="16" s="1"/>
  <c r="F58" i="16"/>
  <c r="F153" i="16"/>
  <c r="E166" i="16"/>
  <c r="E174" i="16" s="1"/>
  <c r="E168" i="16"/>
  <c r="E175" i="16" s="1"/>
  <c r="G175" i="16" s="1"/>
  <c r="E170" i="16"/>
  <c r="E176" i="16" s="1"/>
  <c r="G176" i="16" s="1"/>
  <c r="E126" i="16"/>
  <c r="E134" i="16" s="1"/>
  <c r="E128" i="16"/>
  <c r="E135" i="16" s="1"/>
  <c r="G135" i="16" s="1"/>
  <c r="E130" i="16"/>
  <c r="E10" i="16"/>
  <c r="E18" i="16" s="1"/>
  <c r="G18" i="16" s="1"/>
  <c r="A33" i="16"/>
  <c r="E29" i="16"/>
  <c r="E37" i="16" s="1"/>
  <c r="E31" i="16"/>
  <c r="E38" i="16" s="1"/>
  <c r="E33" i="16"/>
  <c r="E39" i="16" s="1"/>
  <c r="G39" i="16" s="1"/>
  <c r="F136" i="16"/>
  <c r="F80" i="16"/>
  <c r="G81" i="16"/>
  <c r="F37" i="16"/>
  <c r="G38" i="16"/>
  <c r="E70" i="16"/>
  <c r="E78" i="16" s="1"/>
  <c r="E72" i="16"/>
  <c r="E79" i="16" s="1"/>
  <c r="G79" i="16" s="1"/>
  <c r="E74" i="16"/>
  <c r="E80" i="16" s="1"/>
  <c r="E108" i="16"/>
  <c r="E116" i="16" s="1"/>
  <c r="E110" i="16"/>
  <c r="E117" i="16" s="1"/>
  <c r="G117" i="16" s="1"/>
  <c r="E112" i="16"/>
  <c r="F155" i="16"/>
  <c r="D158" i="16" s="1"/>
  <c r="F157" i="16" s="1"/>
  <c r="G156" i="16"/>
  <c r="F99" i="16"/>
  <c r="D102" i="16" s="1"/>
  <c r="F101" i="16" s="1"/>
  <c r="G100" i="16"/>
  <c r="F116" i="16"/>
  <c r="F118" i="16"/>
  <c r="E145" i="16"/>
  <c r="E153" i="16" s="1"/>
  <c r="E147" i="16"/>
  <c r="E154" i="16" s="1"/>
  <c r="G154" i="16" s="1"/>
  <c r="E149" i="16"/>
  <c r="E155" i="16" s="1"/>
  <c r="E89" i="16"/>
  <c r="E97" i="16" s="1"/>
  <c r="E91" i="16"/>
  <c r="E98" i="16" s="1"/>
  <c r="G98" i="16" s="1"/>
  <c r="E93" i="16"/>
  <c r="E99" i="16" s="1"/>
  <c r="E12" i="16"/>
  <c r="E19" i="16" s="1"/>
  <c r="G19" i="16" s="1"/>
  <c r="E48" i="16"/>
  <c r="E56" i="16" s="1"/>
  <c r="E50" i="16"/>
  <c r="E57" i="16" s="1"/>
  <c r="G57" i="16" s="1"/>
  <c r="E52" i="16"/>
  <c r="E58" i="16" s="1"/>
  <c r="E14" i="16"/>
  <c r="E20" i="16" s="1"/>
  <c r="D259" i="15"/>
  <c r="F258" i="15" s="1"/>
  <c r="D339" i="15"/>
  <c r="F338" i="15" s="1"/>
  <c r="D98" i="15"/>
  <c r="F97" i="15" s="1"/>
  <c r="E125" i="15"/>
  <c r="E133" i="15" s="1"/>
  <c r="E390" i="15"/>
  <c r="E396" i="15" s="1"/>
  <c r="G396" i="15" s="1"/>
  <c r="E307" i="15"/>
  <c r="E314" i="15" s="1"/>
  <c r="G314" i="15" s="1"/>
  <c r="E285" i="15"/>
  <c r="E293" i="15" s="1"/>
  <c r="E348" i="15"/>
  <c r="E355" i="15" s="1"/>
  <c r="E309" i="15"/>
  <c r="E368" i="15"/>
  <c r="E375" i="15" s="1"/>
  <c r="G375" i="15" s="1"/>
  <c r="E246" i="15"/>
  <c r="E254" i="15" s="1"/>
  <c r="E209" i="15"/>
  <c r="E216" i="15" s="1"/>
  <c r="G216" i="15" s="1"/>
  <c r="E170" i="15"/>
  <c r="E227" i="15"/>
  <c r="E235" i="15" s="1"/>
  <c r="E64" i="15"/>
  <c r="E72" i="15" s="1"/>
  <c r="E66" i="15"/>
  <c r="E73" i="15" s="1"/>
  <c r="E32" i="15"/>
  <c r="E350" i="15"/>
  <c r="E356" i="15" s="1"/>
  <c r="E328" i="15"/>
  <c r="E335" i="15" s="1"/>
  <c r="G335" i="15" s="1"/>
  <c r="F293" i="15"/>
  <c r="F115" i="15"/>
  <c r="G316" i="15"/>
  <c r="F313" i="15"/>
  <c r="F217" i="15"/>
  <c r="G96" i="15"/>
  <c r="E231" i="15"/>
  <c r="E237" i="15" s="1"/>
  <c r="G237" i="15" s="1"/>
  <c r="E89" i="15"/>
  <c r="E346" i="15"/>
  <c r="E354" i="15" s="1"/>
  <c r="E211" i="15"/>
  <c r="F215" i="15"/>
  <c r="F38" i="15"/>
  <c r="F356" i="15"/>
  <c r="E30" i="15"/>
  <c r="E37" i="15" s="1"/>
  <c r="E105" i="15"/>
  <c r="E113" i="15" s="1"/>
  <c r="E107" i="15"/>
  <c r="E114" i="15" s="1"/>
  <c r="E95" i="15"/>
  <c r="G95" i="15" s="1"/>
  <c r="E68" i="15"/>
  <c r="E74" i="15" s="1"/>
  <c r="G74" i="15" s="1"/>
  <c r="E12" i="15"/>
  <c r="E19" i="15" s="1"/>
  <c r="F72" i="13"/>
  <c r="F75" i="13" s="1"/>
  <c r="E370" i="15"/>
  <c r="E326" i="15"/>
  <c r="E334" i="15" s="1"/>
  <c r="G334" i="15" s="1"/>
  <c r="E287" i="15"/>
  <c r="E294" i="15" s="1"/>
  <c r="G294" i="15" s="1"/>
  <c r="E250" i="15"/>
  <c r="E256" i="15" s="1"/>
  <c r="G256" i="15" s="1"/>
  <c r="E386" i="15"/>
  <c r="E394" i="15" s="1"/>
  <c r="E146" i="15"/>
  <c r="E154" i="15" s="1"/>
  <c r="E148" i="15"/>
  <c r="E155" i="15" s="1"/>
  <c r="G155" i="15" s="1"/>
  <c r="E109" i="15"/>
  <c r="E115" i="15" s="1"/>
  <c r="E168" i="15"/>
  <c r="E175" i="15" s="1"/>
  <c r="G175" i="15" s="1"/>
  <c r="E248" i="15"/>
  <c r="E255" i="15" s="1"/>
  <c r="G255" i="15" s="1"/>
  <c r="G136" i="15"/>
  <c r="F54" i="15"/>
  <c r="F374" i="15"/>
  <c r="F196" i="15"/>
  <c r="D199" i="15" s="1"/>
  <c r="F198" i="15" s="1"/>
  <c r="G75" i="15"/>
  <c r="G397" i="15"/>
  <c r="F72" i="15"/>
  <c r="F394" i="15"/>
  <c r="G355" i="15"/>
  <c r="F295" i="15"/>
  <c r="G177" i="15"/>
  <c r="G19" i="15"/>
  <c r="G39" i="15"/>
  <c r="F73" i="13"/>
  <c r="E305" i="15"/>
  <c r="E313" i="15" s="1"/>
  <c r="E267" i="15"/>
  <c r="E274" i="15" s="1"/>
  <c r="G274" i="15" s="1"/>
  <c r="E366" i="15"/>
  <c r="E374" i="15" s="1"/>
  <c r="E127" i="15"/>
  <c r="E134" i="15" s="1"/>
  <c r="G134" i="15" s="1"/>
  <c r="E15" i="15"/>
  <c r="E21" i="15" s="1"/>
  <c r="G21" i="15" s="1"/>
  <c r="F74" i="13"/>
  <c r="E269" i="15"/>
  <c r="E275" i="15" s="1"/>
  <c r="E186" i="15"/>
  <c r="E194" i="15" s="1"/>
  <c r="E156" i="15"/>
  <c r="G156" i="15" s="1"/>
  <c r="E207" i="15"/>
  <c r="E215" i="15" s="1"/>
  <c r="E188" i="15"/>
  <c r="E195" i="15" s="1"/>
  <c r="G195" i="15" s="1"/>
  <c r="E176" i="15"/>
  <c r="G176" i="15" s="1"/>
  <c r="E150" i="15"/>
  <c r="E166" i="15"/>
  <c r="E174" i="15" s="1"/>
  <c r="E46" i="15"/>
  <c r="E54" i="15" s="1"/>
  <c r="E48" i="15"/>
  <c r="E55" i="15" s="1"/>
  <c r="G55" i="15" s="1"/>
  <c r="E330" i="15"/>
  <c r="E336" i="15" s="1"/>
  <c r="G336" i="15" s="1"/>
  <c r="E388" i="15"/>
  <c r="E395" i="15" s="1"/>
  <c r="G395" i="15" s="1"/>
  <c r="E265" i="15"/>
  <c r="E273" i="15" s="1"/>
  <c r="E229" i="15"/>
  <c r="E236" i="15" s="1"/>
  <c r="G236" i="15" s="1"/>
  <c r="E217" i="15"/>
  <c r="E190" i="15"/>
  <c r="E196" i="15" s="1"/>
  <c r="E289" i="15"/>
  <c r="E295" i="15" s="1"/>
  <c r="G73" i="15"/>
  <c r="E28" i="15"/>
  <c r="E36" i="15" s="1"/>
  <c r="F133" i="15"/>
  <c r="F275" i="15"/>
  <c r="G157" i="15"/>
  <c r="E85" i="15"/>
  <c r="F154" i="15"/>
  <c r="G114" i="15"/>
  <c r="F56" i="15"/>
  <c r="F376" i="15"/>
  <c r="G257" i="15"/>
  <c r="E50" i="15"/>
  <c r="D23" i="15"/>
  <c r="F22" i="15" s="1"/>
  <c r="E20" i="15"/>
  <c r="G20" i="15" s="1"/>
  <c r="A113" i="15"/>
  <c r="G26" i="11"/>
  <c r="U26" i="7"/>
  <c r="L26" i="7"/>
  <c r="C26" i="7"/>
  <c r="A53" i="16"/>
  <c r="B64" i="15"/>
  <c r="B86" i="15"/>
  <c r="M26" i="7"/>
  <c r="A16" i="16"/>
  <c r="U149" i="16" s="1"/>
  <c r="U155" i="16" s="1"/>
  <c r="U50" i="16"/>
  <c r="U73" i="16"/>
  <c r="U170" i="16"/>
  <c r="U176" i="16" s="1"/>
  <c r="U110" i="16"/>
  <c r="U71" i="16"/>
  <c r="U78" i="16" s="1"/>
  <c r="U10" i="16"/>
  <c r="M26" i="11"/>
  <c r="U26" i="11"/>
  <c r="M26" i="10"/>
  <c r="Q26" i="10"/>
  <c r="Y26" i="10"/>
  <c r="G26" i="10"/>
  <c r="L26" i="10"/>
  <c r="Z26" i="10"/>
  <c r="I26" i="10"/>
  <c r="C26" i="10"/>
  <c r="V26" i="10"/>
  <c r="D26" i="10"/>
  <c r="P26" i="10"/>
  <c r="M26" i="9"/>
  <c r="U26" i="9"/>
  <c r="P26" i="9"/>
  <c r="L26" i="9"/>
  <c r="Z26" i="9"/>
  <c r="I26" i="9"/>
  <c r="C26" i="9"/>
  <c r="V26" i="9"/>
  <c r="D26" i="9"/>
  <c r="Y26" i="9"/>
  <c r="Q26" i="9"/>
  <c r="G26" i="9"/>
  <c r="C26" i="6"/>
  <c r="A57" i="14"/>
  <c r="A58" i="14" s="1"/>
  <c r="L26" i="6"/>
  <c r="D26" i="6"/>
  <c r="P26" i="6"/>
  <c r="C26" i="5"/>
  <c r="V26" i="5"/>
  <c r="E26" i="3"/>
  <c r="N26" i="3"/>
  <c r="W26" i="3"/>
  <c r="Z26" i="4"/>
  <c r="Q26" i="4"/>
  <c r="U26" i="2"/>
  <c r="C26" i="2"/>
  <c r="S26" i="2"/>
  <c r="G26" i="1"/>
  <c r="P26" i="1"/>
  <c r="M26" i="1"/>
  <c r="A59" i="14"/>
  <c r="D54" i="16"/>
  <c r="D286" i="14"/>
  <c r="J97" i="12"/>
  <c r="F166" i="16"/>
  <c r="F174" i="16" s="1"/>
  <c r="L97" i="12"/>
  <c r="F70" i="16"/>
  <c r="F78" i="16" s="1"/>
  <c r="F97" i="12"/>
  <c r="S69" i="13"/>
  <c r="J69" i="13"/>
  <c r="E86" i="15"/>
  <c r="S134" i="13"/>
  <c r="F265" i="15"/>
  <c r="F273" i="15" s="1"/>
  <c r="G134" i="13"/>
  <c r="F30" i="15"/>
  <c r="F37" i="15" s="1"/>
  <c r="W134" i="13"/>
  <c r="F346" i="15"/>
  <c r="F354" i="15" s="1"/>
  <c r="K134" i="13"/>
  <c r="F105" i="15"/>
  <c r="F113" i="15" s="1"/>
  <c r="D18" i="14"/>
  <c r="D19" i="14"/>
  <c r="L26" i="5"/>
  <c r="U26" i="5"/>
  <c r="G26" i="5"/>
  <c r="L26" i="3"/>
  <c r="D26" i="3"/>
  <c r="J26" i="3"/>
  <c r="AA26" i="3"/>
  <c r="V26" i="3"/>
  <c r="D284" i="14"/>
  <c r="D20" i="14"/>
  <c r="D283" i="14"/>
  <c r="R26" i="3"/>
  <c r="U389" i="15"/>
  <c r="U385" i="15"/>
  <c r="U370" i="15"/>
  <c r="U376" i="15" s="1"/>
  <c r="U366" i="15"/>
  <c r="U348" i="15"/>
  <c r="U331" i="15"/>
  <c r="U337" i="15" s="1"/>
  <c r="U327" i="15"/>
  <c r="U306" i="15"/>
  <c r="U313" i="15" s="1"/>
  <c r="U288" i="15"/>
  <c r="U284" i="15"/>
  <c r="U268" i="15"/>
  <c r="U248" i="15"/>
  <c r="U255" i="15" s="1"/>
  <c r="U232" i="15"/>
  <c r="U238" i="15" s="1"/>
  <c r="U228" i="15"/>
  <c r="U209" i="15"/>
  <c r="U190" i="15"/>
  <c r="U196" i="15" s="1"/>
  <c r="U186" i="15"/>
  <c r="U168" i="15"/>
  <c r="U148" i="15"/>
  <c r="U129" i="15"/>
  <c r="U135" i="15" s="1"/>
  <c r="U125" i="15"/>
  <c r="U106" i="15"/>
  <c r="U113" i="15" s="1"/>
  <c r="U87" i="15"/>
  <c r="U67" i="15"/>
  <c r="U63" i="15"/>
  <c r="U50" i="15"/>
  <c r="U56" i="15" s="1"/>
  <c r="U46" i="15"/>
  <c r="U30" i="15"/>
  <c r="U14" i="15"/>
  <c r="U20" i="15" s="1"/>
  <c r="U10" i="15"/>
  <c r="U45" i="15"/>
  <c r="U53" i="15" s="1"/>
  <c r="U13" i="15"/>
  <c r="U9" i="15"/>
  <c r="U345" i="15"/>
  <c r="U289" i="15"/>
  <c r="U295" i="15" s="1"/>
  <c r="U285" i="15"/>
  <c r="U265" i="15"/>
  <c r="U229" i="15"/>
  <c r="U236" i="15" s="1"/>
  <c r="U187" i="15"/>
  <c r="U194" i="15" s="1"/>
  <c r="U149" i="15"/>
  <c r="U126" i="15"/>
  <c r="U133" i="15" s="1"/>
  <c r="U88" i="15"/>
  <c r="U68" i="15"/>
  <c r="U74" i="15" s="1"/>
  <c r="U64" i="15"/>
  <c r="U31" i="15"/>
  <c r="U11" i="15"/>
  <c r="U18" i="15" s="1"/>
  <c r="U388" i="15"/>
  <c r="U369" i="15"/>
  <c r="U365" i="15"/>
  <c r="U373" i="15" s="1"/>
  <c r="U347" i="15"/>
  <c r="U354" i="15" s="1"/>
  <c r="U330" i="15"/>
  <c r="U326" i="15"/>
  <c r="U309" i="15"/>
  <c r="U315" i="15" s="1"/>
  <c r="U305" i="15"/>
  <c r="U287" i="15"/>
  <c r="U294" i="15" s="1"/>
  <c r="U267" i="15"/>
  <c r="U274" i="15" s="1"/>
  <c r="U251" i="15"/>
  <c r="U257" i="15" s="1"/>
  <c r="U247" i="15"/>
  <c r="U231" i="15"/>
  <c r="U227" i="15"/>
  <c r="U208" i="15"/>
  <c r="U215" i="15" s="1"/>
  <c r="U189" i="15"/>
  <c r="U185" i="15"/>
  <c r="U167" i="15"/>
  <c r="U174" i="15" s="1"/>
  <c r="U147" i="15"/>
  <c r="U154" i="15" s="1"/>
  <c r="U128" i="15"/>
  <c r="U124" i="15"/>
  <c r="U132" i="15" s="1"/>
  <c r="U109" i="15"/>
  <c r="U115" i="15" s="1"/>
  <c r="U105" i="15"/>
  <c r="U86" i="15"/>
  <c r="U93" i="15" s="1"/>
  <c r="U66" i="15"/>
  <c r="U49" i="15"/>
  <c r="U29" i="15"/>
  <c r="U36" i="15" s="1"/>
  <c r="U328" i="15"/>
  <c r="U335" i="15" s="1"/>
  <c r="U387" i="15"/>
  <c r="U394" i="15" s="1"/>
  <c r="U368" i="15"/>
  <c r="U350" i="15"/>
  <c r="U356" i="15" s="1"/>
  <c r="U346" i="15"/>
  <c r="U329" i="15"/>
  <c r="U336" i="15" s="1"/>
  <c r="U308" i="15"/>
  <c r="U304" i="15"/>
  <c r="U286" i="15"/>
  <c r="U293" i="15" s="1"/>
  <c r="U270" i="15"/>
  <c r="U276" i="15" s="1"/>
  <c r="U266" i="15"/>
  <c r="U250" i="15"/>
  <c r="U246" i="15"/>
  <c r="U254" i="15" s="1"/>
  <c r="U230" i="15"/>
  <c r="U237" i="15" s="1"/>
  <c r="U211" i="15"/>
  <c r="U217" i="15" s="1"/>
  <c r="U207" i="15"/>
  <c r="U188" i="15"/>
  <c r="U170" i="15"/>
  <c r="U176" i="15" s="1"/>
  <c r="U166" i="15"/>
  <c r="U150" i="15"/>
  <c r="U156" i="15" s="1"/>
  <c r="U146" i="15"/>
  <c r="U127" i="15"/>
  <c r="U108" i="15"/>
  <c r="U104" i="15"/>
  <c r="U112" i="15" s="1"/>
  <c r="U89" i="15"/>
  <c r="U95" i="15" s="1"/>
  <c r="U85" i="15"/>
  <c r="U65" i="15"/>
  <c r="U72" i="15" s="1"/>
  <c r="U48" i="15"/>
  <c r="U55" i="15" s="1"/>
  <c r="U32" i="15"/>
  <c r="U38" i="15" s="1"/>
  <c r="U28" i="15"/>
  <c r="U12" i="15"/>
  <c r="U19" i="15" s="1"/>
  <c r="U390" i="15"/>
  <c r="U396" i="15" s="1"/>
  <c r="U386" i="15"/>
  <c r="U367" i="15"/>
  <c r="U374" i="15" s="1"/>
  <c r="U349" i="15"/>
  <c r="U307" i="15"/>
  <c r="U314" i="15" s="1"/>
  <c r="U269" i="15"/>
  <c r="U249" i="15"/>
  <c r="U210" i="15"/>
  <c r="U206" i="15"/>
  <c r="U214" i="15" s="1"/>
  <c r="U169" i="15"/>
  <c r="U165" i="15"/>
  <c r="U173" i="15" s="1"/>
  <c r="U145" i="15"/>
  <c r="U107" i="15"/>
  <c r="U84" i="15"/>
  <c r="U92" i="15" s="1"/>
  <c r="U47" i="15"/>
  <c r="U54" i="15" s="1"/>
  <c r="U27" i="15"/>
  <c r="E11" i="15"/>
  <c r="E18" i="15" s="1"/>
  <c r="O134" i="13"/>
  <c r="N69" i="13"/>
  <c r="X69" i="13"/>
  <c r="M69" i="13"/>
  <c r="K69" i="13"/>
  <c r="V69" i="13"/>
  <c r="V134" i="13"/>
  <c r="F134" i="13"/>
  <c r="Q134" i="13"/>
  <c r="T134" i="13"/>
  <c r="U134" i="13"/>
  <c r="X134" i="13"/>
  <c r="H134" i="13"/>
  <c r="R134" i="13"/>
  <c r="M134" i="13"/>
  <c r="P134" i="13"/>
  <c r="J134" i="13"/>
  <c r="F69" i="13"/>
  <c r="Y69" i="13"/>
  <c r="U69" i="13"/>
  <c r="I69" i="13"/>
  <c r="G69" i="13"/>
  <c r="W69" i="13"/>
  <c r="R69" i="13"/>
  <c r="Q69" i="13"/>
  <c r="O69" i="13"/>
  <c r="N134" i="13"/>
  <c r="Y134" i="13"/>
  <c r="I134" i="13"/>
  <c r="L134" i="13"/>
  <c r="T69" i="13"/>
  <c r="H69" i="13"/>
  <c r="P69" i="13"/>
  <c r="L69" i="13"/>
  <c r="D459" i="14"/>
  <c r="D457" i="14"/>
  <c r="D456" i="14"/>
  <c r="D421" i="14"/>
  <c r="D402" i="14"/>
  <c r="D381" i="14"/>
  <c r="D325" i="14"/>
  <c r="D323" i="14"/>
  <c r="D437" i="14"/>
  <c r="D418" i="14"/>
  <c r="D399" i="14"/>
  <c r="D364" i="14"/>
  <c r="D438" i="14"/>
  <c r="D400" i="14"/>
  <c r="D383" i="14"/>
  <c r="D439" i="14"/>
  <c r="D419" i="14"/>
  <c r="D363" i="14"/>
  <c r="O26" i="1"/>
  <c r="C26" i="1"/>
  <c r="E26" i="1"/>
  <c r="Z26" i="1"/>
  <c r="F26" i="1"/>
  <c r="W26" i="1"/>
  <c r="J26" i="1"/>
  <c r="V26" i="1"/>
  <c r="I26" i="1"/>
  <c r="U26" i="1"/>
  <c r="X26" i="1"/>
  <c r="D26" i="1"/>
  <c r="Y26" i="1"/>
  <c r="Q26" i="1"/>
  <c r="L26" i="1"/>
  <c r="X26" i="2"/>
  <c r="O26" i="2"/>
  <c r="AB26" i="3"/>
  <c r="Q26" i="3"/>
  <c r="X26" i="3"/>
  <c r="O26" i="3"/>
  <c r="C26" i="3"/>
  <c r="M26" i="3"/>
  <c r="F26" i="3"/>
  <c r="S26" i="3"/>
  <c r="G26" i="3"/>
  <c r="K26" i="3"/>
  <c r="P26" i="3"/>
  <c r="Z26" i="3"/>
  <c r="I26" i="3"/>
  <c r="N26" i="4"/>
  <c r="D285" i="14"/>
  <c r="D304" i="14"/>
  <c r="D26" i="4"/>
  <c r="AA26" i="4"/>
  <c r="R26" i="4"/>
  <c r="G26" i="4"/>
  <c r="C26" i="4"/>
  <c r="J26" i="4"/>
  <c r="Y26" i="4"/>
  <c r="V26" i="4"/>
  <c r="U26" i="4"/>
  <c r="W26" i="4"/>
  <c r="E26" i="4"/>
  <c r="P26" i="4"/>
  <c r="I26" i="4"/>
  <c r="L26" i="4"/>
  <c r="M26" i="4"/>
  <c r="Z26" i="5"/>
  <c r="D26" i="5"/>
  <c r="Q26" i="5"/>
  <c r="Y26" i="5"/>
  <c r="I26" i="5"/>
  <c r="M26" i="5"/>
  <c r="P26" i="5"/>
  <c r="Q26" i="7"/>
  <c r="Z26" i="7"/>
  <c r="I26" i="7"/>
  <c r="V26" i="7"/>
  <c r="D26" i="7"/>
  <c r="Q26" i="11"/>
  <c r="Z26" i="11"/>
  <c r="I26" i="11"/>
  <c r="V26" i="11"/>
  <c r="D26" i="11"/>
  <c r="AB26" i="11"/>
  <c r="AA26" i="11"/>
  <c r="X26" i="11"/>
  <c r="F26" i="11"/>
  <c r="W26" i="11"/>
  <c r="E26" i="11"/>
  <c r="K26" i="11"/>
  <c r="J26" i="11"/>
  <c r="S26" i="11"/>
  <c r="R26" i="11"/>
  <c r="O26" i="11"/>
  <c r="N26" i="11"/>
  <c r="X26" i="7"/>
  <c r="F26" i="7"/>
  <c r="W26" i="7"/>
  <c r="E26" i="7"/>
  <c r="K26" i="7"/>
  <c r="AA26" i="7"/>
  <c r="J26" i="7"/>
  <c r="S26" i="7"/>
  <c r="R26" i="7"/>
  <c r="AB26" i="7"/>
  <c r="O26" i="7"/>
  <c r="N26" i="7"/>
  <c r="V26" i="8"/>
  <c r="Q26" i="8"/>
  <c r="M26" i="8"/>
  <c r="U26" i="8"/>
  <c r="Z26" i="8"/>
  <c r="I26" i="8"/>
  <c r="K26" i="10"/>
  <c r="X26" i="10"/>
  <c r="F26" i="10"/>
  <c r="W26" i="10"/>
  <c r="E26" i="10"/>
  <c r="AB26" i="10"/>
  <c r="J26" i="10"/>
  <c r="S26" i="10"/>
  <c r="R26" i="10"/>
  <c r="AA26" i="10"/>
  <c r="O26" i="10"/>
  <c r="N26" i="10"/>
  <c r="AB26" i="9"/>
  <c r="J26" i="9"/>
  <c r="X26" i="9"/>
  <c r="F26" i="9"/>
  <c r="W26" i="9"/>
  <c r="E26" i="9"/>
  <c r="S26" i="9"/>
  <c r="R26" i="9"/>
  <c r="K26" i="9"/>
  <c r="AA26" i="9"/>
  <c r="O26" i="9"/>
  <c r="N26" i="9"/>
  <c r="K26" i="8"/>
  <c r="X26" i="8"/>
  <c r="F26" i="8"/>
  <c r="W26" i="8"/>
  <c r="E26" i="8"/>
  <c r="AB26" i="8"/>
  <c r="AA26" i="8"/>
  <c r="J26" i="8"/>
  <c r="S26" i="8"/>
  <c r="R26" i="8"/>
  <c r="O26" i="8"/>
  <c r="N26" i="8"/>
  <c r="Q26" i="6"/>
  <c r="M26" i="6"/>
  <c r="Y26" i="6"/>
  <c r="G26" i="6"/>
  <c r="Z26" i="6"/>
  <c r="I26" i="6"/>
  <c r="V26" i="6"/>
  <c r="K26" i="6"/>
  <c r="X26" i="6"/>
  <c r="F26" i="6"/>
  <c r="W26" i="6"/>
  <c r="E26" i="6"/>
  <c r="AB26" i="6"/>
  <c r="AA26" i="6"/>
  <c r="J26" i="6"/>
  <c r="S26" i="6"/>
  <c r="R26" i="6"/>
  <c r="O26" i="6"/>
  <c r="N26" i="6"/>
  <c r="J26" i="5"/>
  <c r="X26" i="5"/>
  <c r="F26" i="5"/>
  <c r="W26" i="5"/>
  <c r="E26" i="5"/>
  <c r="K26" i="5"/>
  <c r="S26" i="5"/>
  <c r="R26" i="5"/>
  <c r="AB26" i="5"/>
  <c r="AA26" i="5"/>
  <c r="O26" i="5"/>
  <c r="N26" i="5"/>
  <c r="AB26" i="4"/>
  <c r="K26" i="4"/>
  <c r="X26" i="4"/>
  <c r="F26" i="4"/>
  <c r="S26" i="4"/>
  <c r="O26" i="4"/>
  <c r="U26" i="3"/>
  <c r="Y26" i="3"/>
  <c r="F26" i="2"/>
  <c r="Z26" i="2"/>
  <c r="W26" i="2"/>
  <c r="K26" i="2"/>
  <c r="AB26" i="2"/>
  <c r="P26" i="2"/>
  <c r="M26" i="2"/>
  <c r="J26" i="2"/>
  <c r="AA26" i="2"/>
  <c r="G26" i="2"/>
  <c r="Y26" i="2"/>
  <c r="D26" i="2"/>
  <c r="V26" i="2"/>
  <c r="R26" i="2"/>
  <c r="Y32" i="1" l="1"/>
  <c r="M32" i="11"/>
  <c r="D139" i="16"/>
  <c r="F138" i="16" s="1"/>
  <c r="U73" i="15"/>
  <c r="U395" i="15"/>
  <c r="U144" i="16"/>
  <c r="E118" i="16"/>
  <c r="G118" i="16" s="1"/>
  <c r="M32" i="7"/>
  <c r="D171" i="14"/>
  <c r="C173" i="14" s="1"/>
  <c r="D173" i="14" s="1"/>
  <c r="M75" i="13"/>
  <c r="U35" i="15"/>
  <c r="U292" i="15"/>
  <c r="T296" i="15" s="1"/>
  <c r="U296" i="15" s="1"/>
  <c r="D158" i="15"/>
  <c r="E158" i="15" s="1"/>
  <c r="D209" i="14"/>
  <c r="X32" i="10"/>
  <c r="M32" i="9"/>
  <c r="T258" i="15"/>
  <c r="U258" i="15" s="1"/>
  <c r="U114" i="15"/>
  <c r="E56" i="15"/>
  <c r="Z32" i="7"/>
  <c r="D226" i="14"/>
  <c r="D247" i="14"/>
  <c r="G235" i="15"/>
  <c r="D61" i="16"/>
  <c r="F60" i="16" s="1"/>
  <c r="N32" i="7"/>
  <c r="F32" i="7"/>
  <c r="D34" i="14"/>
  <c r="O32" i="3"/>
  <c r="E32" i="9"/>
  <c r="D190" i="14"/>
  <c r="D55" i="14"/>
  <c r="U195" i="15"/>
  <c r="T197" i="15" s="1"/>
  <c r="U197" i="15" s="1"/>
  <c r="D93" i="14"/>
  <c r="C95" i="14" s="1"/>
  <c r="D95" i="14" s="1"/>
  <c r="U32" i="9"/>
  <c r="I32" i="2"/>
  <c r="G38" i="15"/>
  <c r="D131" i="14"/>
  <c r="D133" i="14"/>
  <c r="U375" i="15"/>
  <c r="U334" i="15"/>
  <c r="U129" i="16"/>
  <c r="D219" i="15"/>
  <c r="E219" i="15" s="1"/>
  <c r="E315" i="15"/>
  <c r="G315" i="15" s="1"/>
  <c r="G58" i="16"/>
  <c r="S32" i="7"/>
  <c r="V75" i="13"/>
  <c r="D228" i="14"/>
  <c r="D48" i="12"/>
  <c r="D32" i="9"/>
  <c r="E376" i="15"/>
  <c r="G20" i="16"/>
  <c r="U256" i="15"/>
  <c r="U193" i="15"/>
  <c r="U48" i="16"/>
  <c r="E93" i="15"/>
  <c r="D97" i="15" s="1"/>
  <c r="E97" i="15" s="1"/>
  <c r="D152" i="14"/>
  <c r="C154" i="14" s="1"/>
  <c r="D154" i="14" s="1"/>
  <c r="I32" i="1"/>
  <c r="G48" i="12"/>
  <c r="L32" i="9"/>
  <c r="P75" i="13"/>
  <c r="D401" i="14"/>
  <c r="C403" i="14" s="1"/>
  <c r="D403" i="14" s="1"/>
  <c r="D342" i="14"/>
  <c r="C346" i="14" s="1"/>
  <c r="D346" i="14" s="1"/>
  <c r="D380" i="14"/>
  <c r="C422" i="14"/>
  <c r="D422" i="14" s="1"/>
  <c r="C211" i="14"/>
  <c r="D211" i="14" s="1"/>
  <c r="C38" i="14"/>
  <c r="D38" i="14" s="1"/>
  <c r="C268" i="14"/>
  <c r="D268" i="14" s="1"/>
  <c r="V32" i="7"/>
  <c r="I32" i="7"/>
  <c r="D382" i="14"/>
  <c r="C249" i="14"/>
  <c r="D249" i="14" s="1"/>
  <c r="C76" i="14"/>
  <c r="D76" i="14" s="1"/>
  <c r="C441" i="14"/>
  <c r="D441" i="14" s="1"/>
  <c r="C287" i="14"/>
  <c r="D287" i="14" s="1"/>
  <c r="C115" i="14"/>
  <c r="D115" i="14" s="1"/>
  <c r="C230" i="14"/>
  <c r="D230" i="14" s="1"/>
  <c r="C57" i="14"/>
  <c r="D57" i="14" s="1"/>
  <c r="D32" i="7"/>
  <c r="C365" i="14"/>
  <c r="D365" i="14" s="1"/>
  <c r="C460" i="14"/>
  <c r="D460" i="14" s="1"/>
  <c r="D322" i="14"/>
  <c r="C326" i="14" s="1"/>
  <c r="D326" i="14" s="1"/>
  <c r="D17" i="14"/>
  <c r="C21" i="14" s="1"/>
  <c r="D21" i="14" s="1"/>
  <c r="D302" i="14"/>
  <c r="C306" i="14" s="1"/>
  <c r="D306" i="14" s="1"/>
  <c r="C135" i="14"/>
  <c r="D135" i="14" s="1"/>
  <c r="O32" i="7"/>
  <c r="U32" i="7"/>
  <c r="W32" i="7"/>
  <c r="U14" i="16"/>
  <c r="U20" i="16" s="1"/>
  <c r="U88" i="16"/>
  <c r="U165" i="16"/>
  <c r="U52" i="16"/>
  <c r="U58" i="16" s="1"/>
  <c r="U126" i="16"/>
  <c r="U28" i="16"/>
  <c r="U90" i="16"/>
  <c r="U97" i="16" s="1"/>
  <c r="U148" i="16"/>
  <c r="U70" i="16"/>
  <c r="U30" i="16"/>
  <c r="U37" i="16" s="1"/>
  <c r="U109" i="16"/>
  <c r="U116" i="16" s="1"/>
  <c r="U169" i="16"/>
  <c r="U72" i="16"/>
  <c r="U79" i="16" s="1"/>
  <c r="U147" i="16"/>
  <c r="U32" i="16"/>
  <c r="U107" i="16"/>
  <c r="U115" i="16" s="1"/>
  <c r="U9" i="16"/>
  <c r="U17" i="16" s="1"/>
  <c r="U74" i="16"/>
  <c r="U80" i="16" s="1"/>
  <c r="U51" i="16"/>
  <c r="U125" i="16"/>
  <c r="U11" i="16"/>
  <c r="U18" i="16" s="1"/>
  <c r="U93" i="16"/>
  <c r="U99" i="16" s="1"/>
  <c r="U166" i="16"/>
  <c r="U49" i="16"/>
  <c r="U56" i="16" s="1"/>
  <c r="U127" i="16"/>
  <c r="U134" i="16" s="1"/>
  <c r="U13" i="16"/>
  <c r="U128" i="16"/>
  <c r="U135" i="16" s="1"/>
  <c r="D178" i="16"/>
  <c r="E178" i="16" s="1"/>
  <c r="D83" i="16"/>
  <c r="F82" i="16" s="1"/>
  <c r="G78" i="16"/>
  <c r="D157" i="16"/>
  <c r="E157" i="16" s="1"/>
  <c r="G99" i="16"/>
  <c r="D42" i="16"/>
  <c r="F41" i="16" s="1"/>
  <c r="G37" i="16"/>
  <c r="D138" i="16"/>
  <c r="E138" i="16" s="1"/>
  <c r="D60" i="16"/>
  <c r="E60" i="16" s="1"/>
  <c r="G80" i="16"/>
  <c r="D41" i="16"/>
  <c r="E41" i="16" s="1"/>
  <c r="G153" i="16"/>
  <c r="G134" i="16"/>
  <c r="D179" i="16"/>
  <c r="F178" i="16" s="1"/>
  <c r="G174" i="16"/>
  <c r="U57" i="16"/>
  <c r="D101" i="16"/>
  <c r="E101" i="16" s="1"/>
  <c r="D121" i="16"/>
  <c r="F120" i="16" s="1"/>
  <c r="G155" i="16"/>
  <c r="G116" i="16"/>
  <c r="D120" i="16"/>
  <c r="E120" i="16" s="1"/>
  <c r="D82" i="16"/>
  <c r="E82" i="16" s="1"/>
  <c r="G97" i="16"/>
  <c r="G136" i="16"/>
  <c r="D22" i="16"/>
  <c r="E22" i="16" s="1"/>
  <c r="D22" i="15"/>
  <c r="E22" i="15" s="1"/>
  <c r="G18" i="15"/>
  <c r="D378" i="15"/>
  <c r="E378" i="15" s="1"/>
  <c r="T116" i="15"/>
  <c r="U116" i="15" s="1"/>
  <c r="U312" i="15"/>
  <c r="T316" i="15" s="1"/>
  <c r="U316" i="15" s="1"/>
  <c r="T218" i="15"/>
  <c r="U218" i="15" s="1"/>
  <c r="T377" i="15"/>
  <c r="U377" i="15" s="1"/>
  <c r="U273" i="15"/>
  <c r="U17" i="15"/>
  <c r="T21" i="15"/>
  <c r="U21" i="15" s="1"/>
  <c r="U71" i="15"/>
  <c r="T75" i="15" s="1"/>
  <c r="U75" i="15" s="1"/>
  <c r="U355" i="15"/>
  <c r="D359" i="15"/>
  <c r="F358" i="15" s="1"/>
  <c r="G354" i="15"/>
  <c r="D278" i="15"/>
  <c r="F277" i="15" s="1"/>
  <c r="G273" i="15"/>
  <c r="D277" i="15"/>
  <c r="E277" i="15" s="1"/>
  <c r="D178" i="15"/>
  <c r="E178" i="15" s="1"/>
  <c r="G295" i="15"/>
  <c r="D379" i="15"/>
  <c r="F378" i="15" s="1"/>
  <c r="G374" i="15"/>
  <c r="D117" i="15"/>
  <c r="E117" i="15" s="1"/>
  <c r="D220" i="15"/>
  <c r="F219" i="15" s="1"/>
  <c r="G215" i="15"/>
  <c r="G217" i="15"/>
  <c r="G115" i="15"/>
  <c r="D239" i="15"/>
  <c r="E239" i="15" s="1"/>
  <c r="D137" i="15"/>
  <c r="E137" i="15" s="1"/>
  <c r="G174" i="15"/>
  <c r="T96" i="15"/>
  <c r="U96" i="15" s="1"/>
  <c r="U353" i="15"/>
  <c r="T357" i="15" s="1"/>
  <c r="U357" i="15" s="1"/>
  <c r="U175" i="15"/>
  <c r="U393" i="15"/>
  <c r="T397" i="15" s="1"/>
  <c r="U397" i="15" s="1"/>
  <c r="D317" i="15"/>
  <c r="E317" i="15" s="1"/>
  <c r="D77" i="15"/>
  <c r="F76" i="15" s="1"/>
  <c r="G72" i="15"/>
  <c r="D358" i="15"/>
  <c r="E358" i="15" s="1"/>
  <c r="D258" i="15"/>
  <c r="E258" i="15" s="1"/>
  <c r="U153" i="15"/>
  <c r="U235" i="15"/>
  <c r="T239" i="15" s="1"/>
  <c r="U239" i="15" s="1"/>
  <c r="T338" i="15"/>
  <c r="U338" i="15" s="1"/>
  <c r="U37" i="15"/>
  <c r="T39" i="15" s="1"/>
  <c r="U39" i="15" s="1"/>
  <c r="D159" i="15"/>
  <c r="F158" i="15" s="1"/>
  <c r="G154" i="15"/>
  <c r="G275" i="15"/>
  <c r="D40" i="15"/>
  <c r="E40" i="15" s="1"/>
  <c r="G36" i="15"/>
  <c r="D59" i="15"/>
  <c r="F58" i="15" s="1"/>
  <c r="G54" i="15"/>
  <c r="D338" i="15"/>
  <c r="E338" i="15" s="1"/>
  <c r="D297" i="15"/>
  <c r="E297" i="15" s="1"/>
  <c r="G254" i="15"/>
  <c r="G56" i="15"/>
  <c r="D138" i="15"/>
  <c r="F137" i="15" s="1"/>
  <c r="G133" i="15"/>
  <c r="D198" i="15"/>
  <c r="E198" i="15" s="1"/>
  <c r="T177" i="15"/>
  <c r="U177" i="15" s="1"/>
  <c r="U134" i="15"/>
  <c r="T136" i="15" s="1"/>
  <c r="U136" i="15" s="1"/>
  <c r="T57" i="15"/>
  <c r="U57" i="15" s="1"/>
  <c r="U94" i="15"/>
  <c r="U155" i="15"/>
  <c r="U216" i="15"/>
  <c r="U275" i="15"/>
  <c r="D118" i="15"/>
  <c r="F117" i="15" s="1"/>
  <c r="G113" i="15"/>
  <c r="G37" i="15"/>
  <c r="D41" i="15"/>
  <c r="F40" i="15" s="1"/>
  <c r="G376" i="15"/>
  <c r="D58" i="15"/>
  <c r="E58" i="15" s="1"/>
  <c r="D399" i="15"/>
  <c r="F398" i="15" s="1"/>
  <c r="G394" i="15"/>
  <c r="G196" i="15"/>
  <c r="D398" i="15"/>
  <c r="E398" i="15" s="1"/>
  <c r="G356" i="15"/>
  <c r="D318" i="15"/>
  <c r="F317" i="15" s="1"/>
  <c r="G313" i="15"/>
  <c r="D298" i="15"/>
  <c r="F297" i="15" s="1"/>
  <c r="G293" i="15"/>
  <c r="G194" i="15"/>
  <c r="D76" i="15"/>
  <c r="E76" i="15" s="1"/>
  <c r="U29" i="16"/>
  <c r="U36" i="16" s="1"/>
  <c r="U112" i="16"/>
  <c r="U118" i="16" s="1"/>
  <c r="U108" i="16"/>
  <c r="U168" i="16"/>
  <c r="U175" i="16" s="1"/>
  <c r="U47" i="16"/>
  <c r="U55" i="16" s="1"/>
  <c r="U92" i="16"/>
  <c r="U146" i="16"/>
  <c r="U153" i="16" s="1"/>
  <c r="U31" i="16"/>
  <c r="U38" i="16" s="1"/>
  <c r="U89" i="16"/>
  <c r="U96" i="16" s="1"/>
  <c r="U130" i="16"/>
  <c r="U136" i="16" s="1"/>
  <c r="U12" i="16"/>
  <c r="U69" i="16"/>
  <c r="U77" i="16" s="1"/>
  <c r="U111" i="16"/>
  <c r="U117" i="16" s="1"/>
  <c r="U167" i="16"/>
  <c r="U174" i="16" s="1"/>
  <c r="U33" i="16"/>
  <c r="U39" i="16" s="1"/>
  <c r="U91" i="16"/>
  <c r="U145" i="16"/>
  <c r="U152" i="16" s="1"/>
  <c r="D42" i="15"/>
  <c r="T81" i="16" l="1"/>
  <c r="U81" i="16" s="1"/>
  <c r="U19" i="16"/>
  <c r="T21" i="16" s="1"/>
  <c r="U21" i="16" s="1"/>
  <c r="G93" i="15"/>
  <c r="U133" i="16"/>
  <c r="T137" i="16" s="1"/>
  <c r="U137" i="16" s="1"/>
  <c r="U154" i="16"/>
  <c r="C192" i="14"/>
  <c r="D192" i="14" s="1"/>
  <c r="C384" i="14"/>
  <c r="D384" i="14" s="1"/>
  <c r="U173" i="16"/>
  <c r="T177" i="16" s="1"/>
  <c r="U177" i="16" s="1"/>
  <c r="T156" i="16"/>
  <c r="U156" i="16" s="1"/>
  <c r="T59" i="16"/>
  <c r="U59" i="16" s="1"/>
  <c r="T40" i="16"/>
  <c r="U40" i="16" s="1"/>
  <c r="T119" i="16"/>
  <c r="U119" i="16" s="1"/>
  <c r="U98" i="16"/>
  <c r="T100" i="16" s="1"/>
  <c r="U100" i="16" s="1"/>
  <c r="T157" i="15"/>
  <c r="U157" i="15" s="1"/>
  <c r="T277" i="15"/>
  <c r="U277" i="15" s="1"/>
  <c r="K42" i="12"/>
  <c r="J42" i="12" l="1"/>
  <c r="E42" i="12"/>
  <c r="L42" i="12"/>
  <c r="G42" i="12" l="1"/>
  <c r="I42" i="12"/>
  <c r="D42" i="12" l="1"/>
  <c r="F42" i="12" l="1"/>
  <c r="C42" i="12" l="1"/>
  <c r="T165" i="16"/>
  <c r="T107" i="16"/>
  <c r="D145" i="16"/>
  <c r="T88" i="16"/>
  <c r="D48" i="16"/>
  <c r="T28" i="16"/>
  <c r="D166" i="16"/>
  <c r="T47" i="16"/>
  <c r="D70" i="16"/>
  <c r="D29" i="16"/>
  <c r="T125" i="16"/>
  <c r="D89" i="16"/>
  <c r="D108" i="16"/>
  <c r="D126" i="16"/>
  <c r="T144" i="16"/>
  <c r="T69" i="16"/>
  <c r="T74" i="16"/>
  <c r="D171" i="16"/>
  <c r="T130" i="16"/>
  <c r="D53" i="16"/>
  <c r="T149" i="16"/>
  <c r="D75" i="16"/>
  <c r="D15" i="16"/>
  <c r="T14" i="16"/>
  <c r="T112" i="16"/>
  <c r="D150" i="16"/>
  <c r="D34" i="16"/>
  <c r="T33" i="16"/>
  <c r="T52" i="16"/>
  <c r="D94" i="16"/>
  <c r="D131" i="16"/>
  <c r="D113" i="16"/>
  <c r="T93" i="16"/>
  <c r="T170" i="16"/>
  <c r="D92" i="16"/>
  <c r="T12" i="16"/>
  <c r="T50" i="16"/>
  <c r="T147" i="16"/>
  <c r="D51" i="16"/>
  <c r="T168" i="16"/>
  <c r="D129" i="16"/>
  <c r="T31" i="16"/>
  <c r="D32" i="16"/>
  <c r="T110" i="16"/>
  <c r="D111" i="16"/>
  <c r="T91" i="16"/>
  <c r="D169" i="16"/>
  <c r="D73" i="16"/>
  <c r="T128" i="16"/>
  <c r="D148" i="16"/>
  <c r="T72" i="16"/>
  <c r="D13" i="16"/>
  <c r="T169" i="16"/>
  <c r="T92" i="16"/>
  <c r="T32" i="16"/>
  <c r="T129" i="16"/>
  <c r="D112" i="16"/>
  <c r="D33" i="16"/>
  <c r="D130" i="16"/>
  <c r="T13" i="16"/>
  <c r="T51" i="16"/>
  <c r="D170" i="16"/>
  <c r="D149" i="16"/>
  <c r="D52" i="16"/>
  <c r="D14" i="16"/>
  <c r="T73" i="16"/>
  <c r="D74" i="16"/>
  <c r="T111" i="16"/>
  <c r="T148" i="16"/>
  <c r="D93" i="16"/>
  <c r="D110" i="16"/>
  <c r="T146" i="16"/>
  <c r="T71" i="16"/>
  <c r="D91" i="16"/>
  <c r="T90" i="16"/>
  <c r="T109" i="16"/>
  <c r="D147" i="16"/>
  <c r="D31" i="16"/>
  <c r="D50" i="16"/>
  <c r="D168" i="16"/>
  <c r="T30" i="16"/>
  <c r="T167" i="16"/>
  <c r="T49" i="16"/>
  <c r="D12" i="16"/>
  <c r="D72" i="16"/>
  <c r="T127" i="16"/>
  <c r="D128" i="16"/>
  <c r="T11" i="16"/>
  <c r="D90" i="16"/>
  <c r="D109" i="16"/>
  <c r="T108" i="16"/>
  <c r="D71" i="16"/>
  <c r="D127" i="16"/>
  <c r="D49" i="16"/>
  <c r="T126" i="16"/>
  <c r="T89" i="16"/>
  <c r="T48" i="16"/>
  <c r="D167" i="16"/>
  <c r="T166" i="16"/>
  <c r="T145" i="16"/>
  <c r="D30" i="16"/>
  <c r="D11" i="16"/>
  <c r="D146" i="16"/>
  <c r="T70" i="16"/>
  <c r="T29" i="16"/>
  <c r="T10" i="16"/>
  <c r="B10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5" authorId="0" shapeId="0" xr:uid="{68AE6A39-8F05-8447-A21E-27E976890131}">
      <text>
        <r>
          <rPr>
            <sz val="10"/>
            <color rgb="FF000000"/>
            <rFont val="Arial"/>
            <family val="2"/>
          </rPr>
          <t>O respondente atualizou este valor.</t>
        </r>
      </text>
    </comment>
    <comment ref="H5" authorId="0" shapeId="0" xr:uid="{641A584A-CCD8-B94A-B757-3F78F85C867B}">
      <text>
        <r>
          <rPr>
            <sz val="10"/>
            <color rgb="FF000000"/>
            <rFont val="Arial"/>
            <family val="2"/>
          </rPr>
          <t>O respondente atualizou este valor.</t>
        </r>
      </text>
    </comment>
    <comment ref="P5" authorId="0" shapeId="0" xr:uid="{18AA9772-0232-834A-B400-F4CB468873C2}">
      <text>
        <r>
          <rPr>
            <sz val="10"/>
            <color rgb="FF000000"/>
            <rFont val="Arial"/>
            <family val="2"/>
          </rPr>
          <t>O respondente atualizou este valor.</t>
        </r>
      </text>
    </comment>
    <comment ref="V5" authorId="0" shapeId="0" xr:uid="{FDC04136-0161-3A43-8AAB-61F1B852A261}">
      <text>
        <r>
          <rPr>
            <sz val="10"/>
            <color rgb="FF000000"/>
            <rFont val="Arial"/>
            <family val="2"/>
          </rPr>
          <t>O respondente atualizou este valor.</t>
        </r>
      </text>
    </comment>
    <comment ref="O26" authorId="0" shapeId="0" xr:uid="{F9033EE1-A608-3D47-8C18-8DBE07F3633E}">
      <text>
        <r>
          <rPr>
            <sz val="10"/>
            <color rgb="FF000000"/>
            <rFont val="Arial"/>
            <family val="2"/>
          </rPr>
          <t>O respondente atualizou este valor.</t>
        </r>
      </text>
    </comment>
    <comment ref="P26" authorId="0" shapeId="0" xr:uid="{0F3BAE3D-005D-A047-9494-7B40E571B6A2}">
      <text>
        <r>
          <rPr>
            <sz val="10"/>
            <color rgb="FF000000"/>
            <rFont val="Arial"/>
            <family val="2"/>
          </rPr>
          <t>O respondente atualizou este valor.</t>
        </r>
      </text>
    </comment>
    <comment ref="S26" authorId="0" shapeId="0" xr:uid="{DC7C8296-1ED3-2749-88D7-988B51068F11}">
      <text>
        <r>
          <rPr>
            <sz val="10"/>
            <color rgb="FF000000"/>
            <rFont val="Arial"/>
            <family val="2"/>
          </rPr>
          <t>O respondente atualizou este valor.</t>
        </r>
      </text>
    </comment>
    <comment ref="T26" authorId="0" shapeId="0" xr:uid="{B0180C85-01FC-FD4A-B812-20D98A5DCCE2}">
      <text>
        <r>
          <rPr>
            <sz val="10"/>
            <color rgb="FF000000"/>
            <rFont val="Arial"/>
            <family val="2"/>
          </rPr>
          <t>O respondente atualizou este valor.</t>
        </r>
      </text>
    </comment>
    <comment ref="W26" authorId="0" shapeId="0" xr:uid="{A8C62C8A-51B4-764F-A960-81D3C2382A07}">
      <text>
        <r>
          <rPr>
            <sz val="10"/>
            <color rgb="FF000000"/>
            <rFont val="Arial"/>
            <family val="2"/>
          </rPr>
          <t>O respondente atualizou este valor.</t>
        </r>
      </text>
    </comment>
    <comment ref="E30" authorId="0" shapeId="0" xr:uid="{2665805E-9AB7-E14C-A854-C2D6C69B3690}">
      <text>
        <r>
          <rPr>
            <sz val="10"/>
            <color rgb="FF000000"/>
            <rFont val="Arial"/>
            <family val="2"/>
          </rPr>
          <t>O respondente atualizou este valor.</t>
        </r>
      </text>
    </comment>
    <comment ref="AA46" authorId="0" shapeId="0" xr:uid="{AF56418F-7B08-E14D-AF07-C078278F5680}">
      <text>
        <r>
          <rPr>
            <sz val="10"/>
            <color rgb="FF000000"/>
            <rFont val="Arial"/>
            <family val="2"/>
          </rPr>
          <t>O respondente atualizou este valor.</t>
        </r>
      </text>
    </comment>
    <comment ref="AA106" authorId="0" shapeId="0" xr:uid="{520DF55F-3BB1-9445-BD98-5A2C840FFB84}">
      <text>
        <r>
          <rPr>
            <sz val="10"/>
            <color rgb="FF000000"/>
            <rFont val="Arial"/>
            <family val="2"/>
          </rPr>
          <t>O respondente atualizou este valor.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E357BE61-085A-49E6-8854-CD7BD6A17132}">
      <text>
        <r>
          <rPr>
            <sz val="10"/>
            <color rgb="FF000000"/>
            <rFont val="Arial"/>
            <family val="2"/>
          </rPr>
          <t>O respondente atualizou este valor.</t>
        </r>
      </text>
    </comment>
    <comment ref="D2" authorId="0" shapeId="0" xr:uid="{7ABF7758-0224-449A-B7D3-7D20326CD75C}">
      <text>
        <r>
          <rPr>
            <sz val="10"/>
            <color rgb="FF000000"/>
            <rFont val="Arial"/>
            <family val="2"/>
          </rPr>
          <t>O respondente atualizou este valor.</t>
        </r>
      </text>
    </comment>
    <comment ref="E2" authorId="0" shapeId="0" xr:uid="{BAE5811F-0D2C-464B-BB16-818B018839C5}">
      <text>
        <r>
          <rPr>
            <sz val="10"/>
            <color rgb="FF000000"/>
            <rFont val="Arial"/>
            <family val="2"/>
          </rPr>
          <t>O respondente atualizou este valor.</t>
        </r>
      </text>
    </comment>
    <comment ref="F2" authorId="0" shapeId="0" xr:uid="{C152F73E-F71E-4208-AD41-106794A8AA50}">
      <text>
        <r>
          <rPr>
            <sz val="10"/>
            <color rgb="FF000000"/>
            <rFont val="Arial"/>
            <family val="2"/>
          </rPr>
          <t>O respondente atualizou este valor.</t>
        </r>
      </text>
    </comment>
    <comment ref="G2" authorId="0" shapeId="0" xr:uid="{43A2E053-5FB7-47A5-BDD3-76B58711191C}">
      <text>
        <r>
          <rPr>
            <sz val="10"/>
            <color rgb="FF000000"/>
            <rFont val="Arial"/>
            <family val="2"/>
          </rPr>
          <t>O respondente atualizou este valor.</t>
        </r>
      </text>
    </comment>
    <comment ref="H2" authorId="0" shapeId="0" xr:uid="{D94F6036-A580-409A-8F0A-705914E3D924}">
      <text>
        <r>
          <rPr>
            <sz val="10"/>
            <color rgb="FF000000"/>
            <rFont val="Arial"/>
            <family val="2"/>
          </rPr>
          <t>O respondente atualizou este valor.</t>
        </r>
      </text>
    </comment>
    <comment ref="I2" authorId="0" shapeId="0" xr:uid="{D57021FD-BF81-40A9-9791-E604A4738642}">
      <text>
        <r>
          <rPr>
            <sz val="10"/>
            <color rgb="FF000000"/>
            <rFont val="Arial"/>
            <family val="2"/>
          </rPr>
          <t>O respondente atualizou este valor.</t>
        </r>
      </text>
    </comment>
    <comment ref="J2" authorId="0" shapeId="0" xr:uid="{3EC14467-E2A5-4FDC-9767-EB57AB91BD2E}">
      <text>
        <r>
          <rPr>
            <sz val="10"/>
            <color rgb="FF000000"/>
            <rFont val="Arial"/>
            <family val="2"/>
          </rPr>
          <t>O respondente atualizou este valor.</t>
        </r>
      </text>
    </comment>
    <comment ref="K2" authorId="0" shapeId="0" xr:uid="{41BF5E53-18F3-4B82-B7CA-21C4A779D7FD}">
      <text>
        <r>
          <rPr>
            <sz val="10"/>
            <color rgb="FF000000"/>
            <rFont val="Arial"/>
            <family val="2"/>
          </rPr>
          <t>O respondente atualizou este valor.</t>
        </r>
      </text>
    </comment>
    <comment ref="L2" authorId="0" shapeId="0" xr:uid="{8DF22355-25DE-453E-81D7-2ED0727532B6}">
      <text>
        <r>
          <rPr>
            <sz val="10"/>
            <color rgb="FF000000"/>
            <rFont val="Arial"/>
            <family val="2"/>
          </rPr>
          <t>O respondente atualizou este valor.</t>
        </r>
      </text>
    </comment>
    <comment ref="M2" authorId="0" shapeId="0" xr:uid="{9DD4DCBF-1322-4E31-A7FC-21443A21D485}">
      <text>
        <r>
          <rPr>
            <sz val="10"/>
            <color rgb="FF000000"/>
            <rFont val="Arial"/>
            <family val="2"/>
          </rPr>
          <t>O respondente atualizou este valor.</t>
        </r>
      </text>
    </comment>
    <comment ref="O2" authorId="0" shapeId="0" xr:uid="{5FD921BB-2B89-4842-95BE-AF71633838C2}">
      <text>
        <r>
          <rPr>
            <sz val="10"/>
            <color rgb="FF000000"/>
            <rFont val="Arial"/>
            <family val="2"/>
          </rPr>
          <t>O respondente atualizou este valor.</t>
        </r>
      </text>
    </comment>
    <comment ref="P2" authorId="0" shapeId="0" xr:uid="{7935C729-C09B-46A6-A218-A12783F24639}">
      <text>
        <r>
          <rPr>
            <sz val="10"/>
            <color rgb="FF000000"/>
            <rFont val="Arial"/>
            <family val="2"/>
          </rPr>
          <t>O respondente atualizou este valor.</t>
        </r>
      </text>
    </comment>
    <comment ref="Q2" authorId="0" shapeId="0" xr:uid="{00948787-7CD3-4081-9018-91C8054BDEA1}">
      <text>
        <r>
          <rPr>
            <sz val="10"/>
            <color rgb="FF000000"/>
            <rFont val="Arial"/>
            <family val="2"/>
          </rPr>
          <t>O respondente atualizou este valor.</t>
        </r>
      </text>
    </comment>
    <comment ref="R2" authorId="0" shapeId="0" xr:uid="{B91795F0-06CF-4F0E-94EA-95A1F1F9AAEF}">
      <text>
        <r>
          <rPr>
            <sz val="10"/>
            <color rgb="FF000000"/>
            <rFont val="Arial"/>
            <family val="2"/>
          </rPr>
          <t>O respondente atualizou este valor.</t>
        </r>
      </text>
    </comment>
    <comment ref="S2" authorId="0" shapeId="0" xr:uid="{14607A4E-A67D-4B11-9625-3777F110A185}">
      <text>
        <r>
          <rPr>
            <sz val="10"/>
            <color rgb="FF000000"/>
            <rFont val="Arial"/>
            <family val="2"/>
          </rPr>
          <t>O respondente atualizou este valor.</t>
        </r>
      </text>
    </comment>
    <comment ref="T2" authorId="0" shapeId="0" xr:uid="{99F9194F-4C68-4FA9-BC77-E4A8D301E25E}">
      <text>
        <r>
          <rPr>
            <sz val="10"/>
            <color rgb="FF000000"/>
            <rFont val="Arial"/>
            <family val="2"/>
          </rPr>
          <t>O respondente atualizou este valor.</t>
        </r>
      </text>
    </comment>
    <comment ref="U2" authorId="0" shapeId="0" xr:uid="{41F16DFA-FFED-42D6-B289-46346A628655}">
      <text>
        <r>
          <rPr>
            <sz val="10"/>
            <color rgb="FF000000"/>
            <rFont val="Arial"/>
            <family val="2"/>
          </rPr>
          <t>O respondente atualizou este valor.</t>
        </r>
      </text>
    </comment>
    <comment ref="V2" authorId="0" shapeId="0" xr:uid="{D8DEE1B8-7DEC-4FEE-A1FA-7E89739AE7E1}">
      <text>
        <r>
          <rPr>
            <sz val="10"/>
            <color rgb="FF000000"/>
            <rFont val="Arial"/>
            <family val="2"/>
          </rPr>
          <t>O respondente atualizou este valor.</t>
        </r>
      </text>
    </comment>
    <comment ref="X2" authorId="0" shapeId="0" xr:uid="{C6100C12-1988-4825-B511-D693350FE043}">
      <text>
        <r>
          <rPr>
            <sz val="10"/>
            <color rgb="FF000000"/>
            <rFont val="Arial"/>
            <family val="2"/>
          </rPr>
          <t>O respondente atualizou este valor.</t>
        </r>
      </text>
    </comment>
    <comment ref="Y2" authorId="0" shapeId="0" xr:uid="{BA1B3FE3-A1A5-46E2-B1CF-1AB004ECD144}">
      <text>
        <r>
          <rPr>
            <sz val="10"/>
            <color rgb="FF000000"/>
            <rFont val="Arial"/>
            <family val="2"/>
          </rPr>
          <t>O respondente atualizou este valor.</t>
        </r>
      </text>
    </comment>
    <comment ref="Z2" authorId="0" shapeId="0" xr:uid="{F219CCE4-5EEE-4955-AF3A-C802CF95AC2C}">
      <text>
        <r>
          <rPr>
            <sz val="10"/>
            <color rgb="FF000000"/>
            <rFont val="Arial"/>
            <family val="2"/>
          </rPr>
          <t>O respondente atualizou este valor.</t>
        </r>
      </text>
    </comment>
    <comment ref="AC2" authorId="0" shapeId="0" xr:uid="{ACC667E1-B89C-43DB-8D87-4517F9AEA7AD}">
      <text>
        <r>
          <rPr>
            <sz val="10"/>
            <color rgb="FF000000"/>
            <rFont val="Arial"/>
            <family val="2"/>
          </rPr>
          <t>O respondente atualizou este valor.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H5" authorId="0" shapeId="0" xr:uid="{E332E2B3-77CD-4B17-87BA-1F86BBC1C79F}">
      <text>
        <r>
          <rPr>
            <sz val="10"/>
            <color rgb="FF000000"/>
            <rFont val="Arial"/>
            <family val="2"/>
          </rPr>
          <t>O respondente atualizou este valor.</t>
        </r>
      </text>
    </comment>
    <comment ref="S5" authorId="0" shapeId="0" xr:uid="{79079B9E-3313-4399-8C9C-2FC3F58CB732}">
      <text>
        <r>
          <rPr>
            <sz val="10"/>
            <color rgb="FF000000"/>
            <rFont val="Arial"/>
            <family val="2"/>
          </rPr>
          <t>O respondente atualizou este valor.</t>
        </r>
      </text>
    </comment>
  </commentList>
</comments>
</file>

<file path=xl/sharedStrings.xml><?xml version="1.0" encoding="utf-8"?>
<sst xmlns="http://schemas.openxmlformats.org/spreadsheetml/2006/main" count="2140" uniqueCount="318">
  <si>
    <t>Carimbo de data/hora</t>
  </si>
  <si>
    <t>00- Qual é a sua atuação no PGMAT?</t>
  </si>
  <si>
    <t>01- Os recursos didático-pedagógicos foram adequados aos conteúdos ministrados ?</t>
  </si>
  <si>
    <t>02- Esta disciplina foi integrada com as demais disciplinas do PGMAT ?</t>
  </si>
  <si>
    <t>03- Os conteúdos ministrados em semestres anteriores contribuíram para a compreensão desta disciplina ?</t>
  </si>
  <si>
    <t>04- Os conteúdos ministrados na disciplina e seus respectivos recursos são atualizados ?</t>
  </si>
  <si>
    <t>05- As avaliações realizadas nesta disciplina foram coerentes com os conteúdos ministrados e os objetivos estabelecidos no Plano de Ensino?</t>
  </si>
  <si>
    <t>06- Fique à vontade para escrever comentários adicionais.</t>
  </si>
  <si>
    <t>07- O Plano de Ensino da disciplina foi coerente com o conteúdo da ementa ?</t>
  </si>
  <si>
    <t>08- O Plano de Ensino da disciplina foi disponibilizado, explicado e cumprido pelo docente ?</t>
  </si>
  <si>
    <t>09- Os objetivos propostos da disciplina foram coerentes com os conteúdos desenvolvidos nas aulas ?</t>
  </si>
  <si>
    <t>10- O docente dominou os conteúdos ministrados ?</t>
  </si>
  <si>
    <t>11- Os conteúdos ministrados foram apresentados com clareza e coerência ?</t>
  </si>
  <si>
    <t>12- O docente demonstrou civilidade e respeito em relação aos estudantes ?</t>
  </si>
  <si>
    <t>13- O docente incentivou à participação e ao interesse dos discentes pelos conteúdos ministrados ?</t>
  </si>
  <si>
    <t>14- O docente usou diversificadas técnicas e metodologias de ensino ?</t>
  </si>
  <si>
    <t>15- O docente esteve pontual e assíduo em todas as aulas presenciais e não presenciais ?</t>
  </si>
  <si>
    <t>16- O docente esteve disponível para esclarecer dúvidas em horário extraclasse?</t>
  </si>
  <si>
    <t>17- O docente respeita os horários estabelecidos no CAPG de início e término das aulas ?</t>
  </si>
  <si>
    <t>18- Fique à vontade para escrever comentários adicionais.</t>
  </si>
  <si>
    <t>19- Você se dedicou suficientemente aos estudos desta disciplina, excetuando as horas de aula?</t>
  </si>
  <si>
    <t>20- Você foi assíduo(a) e pontual em relação às aulas desta disciplina ?</t>
  </si>
  <si>
    <t>21- Utilizou seu conhecimento anterior para acompanhar a disciplina ?</t>
  </si>
  <si>
    <t>22- Encontrou algum grau de dificuldade na disciplina ?</t>
  </si>
  <si>
    <t>23- Participou ativamente das aulas da disciplina, estando atento às explicações do professor e contribuindo na dinâmica da aula ?</t>
  </si>
  <si>
    <t>24- Você se preparou para as aulas da disciplina, lendo os materiais indicados pelo(s) docente(s), ou aprofundou-se em referenciais de apoio como pesquisas em Internet, biblioteca, etc. ?</t>
  </si>
  <si>
    <t>25- Nos eventuais trabalhos em grupo, participou e realizou as atividades ?</t>
  </si>
  <si>
    <t>26- Participou de atividades extraclasse como monitoria, atividades de pesquisa, leituras e estudos complementares, entre outras ?</t>
  </si>
  <si>
    <t>27- Fique à vontade para escrever comentários adicionais.</t>
  </si>
  <si>
    <t>DOCENTE</t>
  </si>
  <si>
    <t>DISCENTE</t>
  </si>
  <si>
    <t>O planejamento do professor em relação as avaliações online não foi muito eficiente, visto que existiam ferramentas na plataforma do Moodle que se adequariam muito melhor à sua proposta de testes rápidos eventuais.</t>
  </si>
  <si>
    <t xml:space="preserve">Nao me adaptei bem ao ensino remoto. </t>
  </si>
  <si>
    <t>A pandemia dificultou o andamento do plano de ensino.</t>
  </si>
  <si>
    <t>Excelente disciplina.</t>
  </si>
  <si>
    <t>Agradeço a disponibilidade do professor em preparar as aulas e os recursos online. O conteúdo demonstrou ser muito enriquecedor aos discentes do pgmat. Espero poder cumprimentá-lo em breve!</t>
  </si>
  <si>
    <t>Acompanho as disciplinas em meu notebook antigo, cujo microfone é baixo. Participei digitando, conforme a oportunidade.</t>
  </si>
  <si>
    <t>Agradeço a disponibilidade deste e de outros professores que mesmo em época de pandemia prepararam o material de aula e avaliações. Conteúdo excelente. Creio que será muito útil a minha pesquisa na área de cerâmicos. Em breve espero cumprimentá-lo pessoalmente.</t>
  </si>
  <si>
    <t>Devido a pandemia houve algumas limitações se comparadas as aulas presenciais. O importante foi não paralisar totalmente de modo a não atrasar o curso.</t>
  </si>
  <si>
    <t>Excelente trabalho realizado pela professora embora o tempo e as condições impostas pela pandemia fossem um desafio!</t>
  </si>
  <si>
    <t>Boa metodologia aplicada o que ajudou no desenvolvimento da disciplina.</t>
  </si>
  <si>
    <t>A ideia de realizar seminários sobre outras técnicas de caracterização é boa até, mas 3 aulas de 9 aulas totais é muito tempo.
A disponibilização de lista de exercícios é importante para fixação de conteúdos e para colocar em "prática" o conhecimento.
Acredito que a ementa não foi cumprida por completo devido ao calendário, pois foram APENAS 9 semanas de aula.
Enquanto houver aulas de maneira remota é fundamental aumentar e diversificar as formas de comunicações. Com isso, a criação de grupos de Whatsapp ou de Telegram para as turmas se torna importante, além das trocas de mensagens/dúvidas por e-mail.</t>
  </si>
  <si>
    <t>Conteúdo programado foi perfeito, aulas mesmo com todos os empecílios foi dinâmica e extremamente importante para o meu aprendizado.</t>
  </si>
  <si>
    <t xml:space="preserve">Professora com excelente didática, sempre atenta a questionamentos, boa eloquência e organização. </t>
  </si>
  <si>
    <t>Excelente metodologia de trabalho e proposta da disciplina.</t>
  </si>
  <si>
    <t>Como docente da disciplina acho que fiz tudo que deveria para o melhor desenvolvimento da disciplina. Embora, como as aulas foram por vídeo conferência, fato novo para todos, tivemos que ir aprendendo durante o curso</t>
  </si>
  <si>
    <t>A aula é bastante interativa</t>
  </si>
  <si>
    <t>Excelente professor.</t>
  </si>
  <si>
    <t>A disciplina é dada com excelência, o Professor Dachamir é o melhor professor que já tive na UFSC, extremamente competente em relação ao conteúdo e pedagogicamente falando, atento aos alunos e ao modo de ensinar.</t>
  </si>
  <si>
    <t xml:space="preserve">Professor muito prestativo e atencioso, sempre disposto a tirar dúvidas. Em todas as aulas sempre foi muito educado e pontual. </t>
  </si>
  <si>
    <t>A disciplina ministrada foi uma excelente oportunidade para conhecer as ferramentas estatísticas de análise, embora o curso tenha sido encurtado por conta da pandemia, no entanto, a abordagem foi excepcional.</t>
  </si>
  <si>
    <t>A disciplina foi lecionada de maneira clara e objetiva. Os professores mostraram domínio do assunto e estiveream acessíveis aos alunos.</t>
  </si>
  <si>
    <t>A maneira como seria cada trabalho demorou muito tempo, pois só faltando uma semana sabemos como seria o trabalho 2</t>
  </si>
  <si>
    <t>Toda semana faltou planejamento da aula, pois toda semana foi ultrapassado o horário de aula</t>
  </si>
  <si>
    <t>Acredito que faltou planejamento nas aulas, nós conteúdos de cada aula e a forma q foi passado.
Obs: acredito q em várias aulas, os conteúdos poderiam ter sido dado em menos de 2h, ao invés das 4h.</t>
  </si>
  <si>
    <t>A disciplina é extremamente relevante e necessária a todos os discentes. Porém achei ela pouco profunda e que o nível de cobrança deveria ser maior, creio que a excepcional falta de tempo nesse trimestre seja a responsável por isso.</t>
  </si>
  <si>
    <t>Esta foi uma das disciplinas mais interessantes que pude realizar e com certeza é uma fonte de incentivo para aprofundar e seguir os estudos.</t>
  </si>
  <si>
    <t>Os professores estão de parabéns e com certeza representam e justificam a qualidade do curso de pós-graduação de eng. em materiais da Ufsc. Mesmo diante desta pandemia o desempenho foi excepcional! Obrigado pela oportunidade!</t>
  </si>
  <si>
    <t>00- Qual a sua atuação no PGMAT?</t>
  </si>
  <si>
    <t>01- As orientações recebidas foram suficientes e claras para o desempenho das suas atividades?</t>
  </si>
  <si>
    <t xml:space="preserve">02- O orientador esteve disponível e acessível para atendimentos ? </t>
  </si>
  <si>
    <t>03- Os equipamentos e os insumos necessários para a realização do seu tema de pesquisa foram disponibilizados pelo seu orientador ?</t>
  </si>
  <si>
    <t>04- Seu orientador o incentivou a realizar estágio de docência ?</t>
  </si>
  <si>
    <t>05- Seu orientador o incentivou a elaborar artigos científicos ?</t>
  </si>
  <si>
    <t>06. Fique à vontade para escrever comentários adicionais.</t>
  </si>
  <si>
    <t>07- Os conhecimentos adquiridos durante o curso (mestrado/doutorado) foram importantes para a sua formação profissional ?</t>
  </si>
  <si>
    <t>08- O curso colaborou para seu desenvolvimento pessoal ?</t>
  </si>
  <si>
    <t>09- Sua atuação profissional é na área de Ciência e Engenharia de Materiais ?</t>
  </si>
  <si>
    <t>10- Você se considera satisfeito com sua área de atuação profissional atual ?</t>
  </si>
  <si>
    <t>11- Assinale uma ou mais alternativas que definem sua área de atuação profissional atual:</t>
  </si>
  <si>
    <t>12-	Você tem interesse em dar continuidade à sua formação no PGMAT ?</t>
  </si>
  <si>
    <t>13-	Aponte pontos positivos e/ou negativos relativos ao desenvolvimento das suas atividades acadêmicas.</t>
  </si>
  <si>
    <t>14-	Você poderia nos fornecer seus dados profissionais (local de trabalho, cargo/função, e-mail) ?</t>
  </si>
  <si>
    <t>15-	Você nos autoriza a divulgar seus dados profissionais no site do PGMAT?</t>
  </si>
  <si>
    <t>EGRESSO</t>
  </si>
  <si>
    <t>Acadêmica (docente, pesquisador), Servidor público (servidor)</t>
  </si>
  <si>
    <t>Não</t>
  </si>
  <si>
    <t>tive acesso a formação fora do país e continuo em contato com meus orientadores, Dacha e Rambo.</t>
  </si>
  <si>
    <t>UTFPR, professor MS, Depto Eng Mec, área de materiais. len_berti@yahoo.com.br</t>
  </si>
  <si>
    <t>Sim</t>
  </si>
  <si>
    <t>Acadêmica (docente, pesquisador)</t>
  </si>
  <si>
    <t>Acadêmica (docente, pesquisador), Industrial (colaborador), Empresarial (empreendedor)</t>
  </si>
  <si>
    <t>Acadêmica (docente, pesquisador), Comercial</t>
  </si>
  <si>
    <t>Acadêmica (docente, pesquisador), Industrial (colaborador), Servidor público (servidor)</t>
  </si>
  <si>
    <t>Docente IFSC Itajaí</t>
  </si>
  <si>
    <t>Acadêmica (docente, pesquisador), Industrial (colaborador)</t>
  </si>
  <si>
    <t>Talvez</t>
  </si>
  <si>
    <t>Empresarial (empreendedor)</t>
  </si>
  <si>
    <t xml:space="preserve">Só tenho elogios e agradecimentos aos meus orientadores de Mestrado e Doutorado. </t>
  </si>
  <si>
    <t>Positivo - Tive acesso a bolsa de estudo, ajudas financeira para participação em eventos. Tenho muitas lembranças boas do meu período no PGMAT.</t>
  </si>
  <si>
    <t>Atualmente sou professor e pesquisador do quadro do curso de Engenharia Mecânica da FURB em Blumenau/SC.</t>
  </si>
  <si>
    <t>Ponto positivo: possibilidades de interações nacionais e internacionais.</t>
  </si>
  <si>
    <t>EMT-CTE-UFSC, professor, c.teixeira@ufsc.br</t>
  </si>
  <si>
    <t>.</t>
  </si>
  <si>
    <t>Parabéns ao professor Dachamir Hotza.</t>
  </si>
  <si>
    <t>Pontos positivos: Orientador extremamente comprometido. Possibilidade de 
Sandwich fora do país.</t>
  </si>
  <si>
    <t>IFSC, professor/pesquisador, marcelo.dalbo@ifsc.edu.br</t>
  </si>
  <si>
    <t>Laboratorio equipado e ótimo orientador</t>
  </si>
  <si>
    <t xml:space="preserve">UNIT/AL, Professora PPG SOTEPP, janajunkes@hotmail.com </t>
  </si>
  <si>
    <t>Orientador era negligente quanto aos objetivos e rumos do trabalho, fazendo com que ocorresse muitos conflitos com o coorientador, embora exigisse que suas demandas fossem realizadas.</t>
  </si>
  <si>
    <t>Acho que a exigência da publicação de artigos científicos é um erro do programa que poderia ser corrigido.</t>
  </si>
  <si>
    <t>Servidor público (servidor)</t>
  </si>
  <si>
    <t>A UFSC, em Florianópolis, os aluguéis são muito caros. Se a UFSC estive em centros urbanos com aluguéis mais baratos, todos seriam beneficiados.</t>
  </si>
  <si>
    <t>Sou policial civil, mas pretendo ingressar numa Universidade Federal, como docente.</t>
  </si>
  <si>
    <t>UNESC, docente permanente de PPG, okm@unesc.net</t>
  </si>
  <si>
    <t>O Programa é muito bem estruturado, as instalações e corpo docente está de acordo com o padrão de excelência esperado de um programa nota 7 da Capes. Minha única ressalva é pelo fato de ter tido discordâncias com a maneira pela qual o Porf. Paulo Wendhausen conduzia seu grupo e as dificuldades que ele tinha (ao menos na minha época) em estabelecer um relacionamento saudável com seus orientandos. Esta opinião é absolutamente pessoal, deixando bem claro.</t>
  </si>
  <si>
    <t>Meu projeto de mestrado foi muito mal conduzido pela orientação, tendo sido prejudicado por uma parceria forçosa com empresa, em detrimento de um real desenvolvimento científico. Isso, porém, foi um problema pontual do grupo no qual eu estava inserido.</t>
  </si>
  <si>
    <t>Como ponto positivos cito a infraestrutura da UFSC como um todo e integração/parceria entre centros. Poder contar com analises em outros centros foi muito importante na minha pesquisa. Contar com supervisores alinhados com  tópicos de pesquisa de ponta juntamente com desenvolvimento de projetos de colaboração nacional e international com certeza me motivaram a  expandir minhas habilidades e enfrentar novos desafios. A citar os aspectos negativos, a falta de comunicação e informação entre os centros ou mesmos dentro de um mesmo centro causa muito atraso na excussão/solução de problemas.</t>
  </si>
  <si>
    <t>professor UDESC daniela.becker@udesc.br</t>
  </si>
  <si>
    <t>A infraestrutura do LabMat é de primeira. O LabMat é composto por uma equipe dedicada e colaborativa.</t>
  </si>
  <si>
    <t>IFSC Câmpus Araranguá. Cargo: Docente. E-mail: halleydias@ifsc.edu.br</t>
  </si>
  <si>
    <t>Estudante</t>
  </si>
  <si>
    <t>A impressao que ficou apòs a experiencia de mestrado é que o orientador nao sabia o que eu estava fazendo. Tive muita liberdade de fazer o que quis, mas sinto que uma orientaçao mais atenta teria transformado o trabalho de dois anos de pesquisa em uma obra mais coesa e sensata.</t>
  </si>
  <si>
    <t>A atividade de pesquisa durante o meu mestrado era muito distante da aplicaçao pratica, ou seja, era dificil concretizar uma teoria ou uma ideia. A aplicaçao final de uma tese, sobretudo para a area de materiais, é sem duvida uma motivaçao que levam as pessoas a fazer um trabalho bem feito.
Em poucas palavras: Minha experiencia do mestrado revelou que no ambito do PGMAT a distancia entre a pesquisa e o produto final (aplicaçao) é muito grande.</t>
  </si>
  <si>
    <t>Useche dos Santos Inchauspe
Doutorando na Universidade de Padova, Italia
useche.dossantosinchauspe@phd.unipd.it</t>
  </si>
  <si>
    <t>Fui orientado pelo Prof. Dr. Dachamir Hotza e Co-orientado pelo Prof. Dr. Ricardo Machado, ambos foram realmente excelentes em todos os quesitos acima.</t>
  </si>
  <si>
    <t>Industrial (colaborador), Empresarial (empreendedor), Comercial</t>
  </si>
  <si>
    <t>Positivos: ter executado a carga horária acadêmica conciliada com atividades práticas simultâneas em uma empresa foi realmente uma grande oportunidade, enriquecedora, uma vez que as informações colhidas no campo prático puderam ser avaliadas dentro da sala de aula à luz dos conhecimentos e temas pertinentes na maioria das disciplinas cursadas.
Negativo: a ausência de uma disciplina voltada para os minerais, especialmente minerais industriais, os quais são em grande maioria matérias-primas para todos os materiais de engenharia, metálicos, cerâmicos e poliméricos. Justifico que a compreensão dos minerais enquanto matérias-primas nos ajudam a compreender aspectos termodiâmicos, além de compreender de onde vêm características e propriedades dos materiais das 3 grandes áreas de concentração dos cursos do PGMAT. Outro aspecto, além da origem, é poder conhecer a interação de minerais como produtos aditivos às matrizes metálicas, cerâmicas e poliméricas eleva significativamente a capacidade dos profissionais de Ciência e Engenharia de Materiais a desenvolverem produtos com recursos locais, uma vez que, o Brasil possui uma das maiores riquezas minerais do Planeta Terra.</t>
  </si>
  <si>
    <t xml:space="preserve">Instituição: T-minas Minerais Industriais 
Cargo: Diretor Administrativo
E-mail: felipe@t-minas.com.br
Instituição: T-matter Minerais Industriais S.A.
Cargo: Diretor Presidente
E-mail: felipe@t-minas.com.br
</t>
  </si>
  <si>
    <t>Tupy S.A., Especialista em Processos Metalúrgicos, gustavo.siebert@tupy.com.br</t>
  </si>
  <si>
    <t>Industrial (colaborador), Empresarial (empreendedor)</t>
  </si>
  <si>
    <t>Sou pesquisador do Instituto SENAI de Inovação de Joinville e trabalho com tecnologia de ponta para aplicação industrial. Além disso, sou empresário do ramo de nanotecnologia.</t>
  </si>
  <si>
    <t>Industrial (colaborador)</t>
  </si>
  <si>
    <t>Gerente Produto</t>
  </si>
  <si>
    <t>Comercial</t>
  </si>
  <si>
    <t>Márcio Mafra, Professor Titular da UTFPR, mafra@utfpr.edu.br, Bolsista PQ2 CNPq</t>
  </si>
  <si>
    <t xml:space="preserve">Meu orientador colaborou substancialmente para meu doutorado Sanduiche. Sempre esteve presente nos momentos que precisei. </t>
  </si>
  <si>
    <t>Foi tudo muito bom</t>
  </si>
  <si>
    <t xml:space="preserve">Sou a Tatiane Michele Popiolski, sou professora do magistério superior, adjunta C na UFLA em Lavras - MG, atualmente lotada no Departamento de Engenharia e também coordenadora do curso de Engenharia de Materiais, e-mail tatiane_popiolski@ufla.br </t>
  </si>
  <si>
    <t>IFSC, Docente, cassio.suski@ifsc.edu.br</t>
  </si>
  <si>
    <t>assessor</t>
  </si>
  <si>
    <t>IFSC Campus Caçador, Professor Substituto e Técnico de laboratóirio</t>
  </si>
  <si>
    <t>Orientador e coorientador foram excelentes durante meu doutorado, dando todo o apoio de infraestrutura e autonomia necessária para desenvolvimento da minha proposta e participando ativamente da discussão e interpretação de resultados.</t>
  </si>
  <si>
    <t>Estágio pós-doutoral vinculado ao PGMAT.</t>
  </si>
  <si>
    <t>Acadêmica (docente, pesquisador), Empresarial (empreendedor)</t>
  </si>
  <si>
    <t xml:space="preserve">O meu orientador esteve sempre disponível nas discussões e colaboração. </t>
  </si>
  <si>
    <t xml:space="preserve">Positivos: Nível e acessibilidade do orientador.
Negativo: Muita burocracia e muita dificuldade para utilizar laboratórios de outros departamentos.  </t>
  </si>
  <si>
    <t>Empresa: ArcelorMittal
Cargo: Gerente de Desenvolvimento de Produtos do R&amp;D ArcelorMittal (Brazil &amp; South America)</t>
  </si>
  <si>
    <t>Quero manifestar meu sinceiro agradecimento com o meu orientador, como pesquisador e como pessoa.</t>
  </si>
  <si>
    <t>Como graduado do programa de pós-graduação PGMAT, potenciei a capacidade de interagir com profissionais de diversas áreas</t>
  </si>
  <si>
    <t>Universidade Nacional de Colombia/Professor Associado/jlaguilara@unal.edu.co</t>
  </si>
  <si>
    <t xml:space="preserve">Pontos positivos: Infraestrutura excelente, corpo técnico altamente qualificado, ambiente de aprendizagem colaborativo. </t>
  </si>
  <si>
    <t>IFSC/Câmpus Araranguá, Professor, halleydias@ifsc.edu.br</t>
  </si>
  <si>
    <t xml:space="preserve">A pressão por publicações é algo que desanima seguir na carreira acadêmica. </t>
  </si>
  <si>
    <t>Docente / Universidade Comunitária do sistema Acafe</t>
  </si>
  <si>
    <t>sou bolsista. Não tenho vínculo empregatício.</t>
  </si>
  <si>
    <t xml:space="preserve">Defendi a tese em dezembro de 2020. O Pgmat/Ufsc é um excelente programa contando com infraestrutura de Laboratórios de Excelência e Professores atualizados com o estado da arte em suas Áreas de conhecimento. A maioria dos Laboratórios e Pesquisadores associados ao PGMAT atuam fortemente com o Setor Produtivo Nacional o que aproxima os alunos de temas importantes como Inovação e impacto social e econômico de suas pesquisas, bem como a forte ontribuição para o desenvolvimento da Ciencia e Engenharia de Materiais no Brasil.  </t>
  </si>
  <si>
    <t>Empresa NIDEC-EMBRACO
CARGO: PESQUISADOR SENIOR 
roberto.binder@nidec-ga.com</t>
  </si>
  <si>
    <t>discente</t>
  </si>
  <si>
    <t xml:space="preserve">Meus orientadores me auxiliaram no meu desenvolvimento e sou muito grata a eles. </t>
  </si>
  <si>
    <t>Pra mim foi perfeito, tenho ótimas referências</t>
  </si>
  <si>
    <t>Colégio Maximiliano Gadizinski - Professor Pesquisador - jucilene.souza@imgnet.org.br</t>
  </si>
  <si>
    <t>Aprimoramento do raciocínio, valorização do profissional acadêmico, consciência social, conhecimento de técnicas avançadas, responsabilidade.</t>
  </si>
  <si>
    <t>POLICOM, mestrando, vschiefferdecker@gmail.com</t>
  </si>
  <si>
    <t>não se aplica</t>
  </si>
  <si>
    <t>Não tenho orientador ainda</t>
  </si>
  <si>
    <t>Engenheiro civil autônomo e-mail eng.ademir.rodigues@gmail.com</t>
  </si>
  <si>
    <t>01-	QUAL O SEU VÍNCULO COM O PGMAT ?</t>
  </si>
  <si>
    <t>02- QUAL A AREA DE CONCENTRACAO QUE ATUA/ATUOU ?</t>
  </si>
  <si>
    <t xml:space="preserve">03- SE FOR EGRESSO, EM QUE ANO VOCÊ SE FORMOU ? </t>
  </si>
  <si>
    <t xml:space="preserve">04- SE FOR EGRESSO, EM QUE CURSO/NÍVEL SE FORMOU (MAIS RECENTE) ? </t>
  </si>
  <si>
    <t>05-	Você conhece/ia o Regimento do PGMAT (versão 2017) ?</t>
  </si>
  <si>
    <t>06-	O planejamento estratégico (objetivos e metas) tem sido cumprido no PGMAT ?</t>
  </si>
  <si>
    <t>07-	Os resultados das autoavaliações têm sido discutidos no âmbito do PGMAT?</t>
  </si>
  <si>
    <t>08-	O PGMAT tem contribuído para o desenvolvimento da Missão da UFSC ?</t>
  </si>
  <si>
    <t>09-	O PGMAT tem contribuído para a inclusão social ?</t>
  </si>
  <si>
    <t>10-	O PGMAT tem contribuído para a preservação do meio ambiente ?</t>
  </si>
  <si>
    <t>11-	O PGMAT tem contribuído para o desenvolvimento local e regional ?</t>
  </si>
  <si>
    <t>12-	A atuação do Colegiado do PGMAT tem sido eficiente e transparente ?</t>
  </si>
  <si>
    <t>13-	A atuação da Coordenação do PGMAT tem sido eficiente e transparente ?</t>
  </si>
  <si>
    <t>14-	A atuação da Secretaria do PGMAT tem sido eficiente e transparente ?</t>
  </si>
  <si>
    <t>15-	Você conhece/ia o planejamento orçamentário e o acompanhamento da execução relativos ao PROEX no PGMAT ?</t>
  </si>
  <si>
    <t>16-	As informações do PGMAT (editais de seleção, mecanismos de transparência, resultados de avaliação, entre outros) têm sido acessíveis à comunidade INTERNA ao Programa?</t>
  </si>
  <si>
    <t>17-	As informações do PGMAT (editais de seleção, mecanismos de transparência, resultados de avaliação, atas de reuniões, entre outros) têm sido acessíveis à comunidade EXTERNA ao Programa ?</t>
  </si>
  <si>
    <t>18-	As políticas do PGMAT em relação a apoios (participação em congressos e eventos científicos, missões de trabalho, revisão de artigos científicos em inglês, manutenção de equipamentos, atas de reuniões, entre outros) têm sido suficientes ?</t>
  </si>
  <si>
    <t>19-	O PGMAT tem contribuído com o uso de tecnologias digitais em educação ?</t>
  </si>
  <si>
    <t>20-	O PGMAT, com o apoio da UFSC, tem disponibilizado recursos suficientes para a realização de suas atividades acadêmicas NÃO PRESENCIAIS ?</t>
  </si>
  <si>
    <t>21-	O PGMAT, com o apoio da UFSC, tem disponibilizado recursos suficientes para a realização de suas atividades acadêmicas PRESENCIAIS (salas de aula, laboratórios) ?</t>
  </si>
  <si>
    <t>22-	A qualidade da infraestrutura virtual no que se refere ao website do PGMAT tem sido suficiente ?</t>
  </si>
  <si>
    <t>23-	As disciplinas ofertadas pelo PGMAT têm sido suficientes em número por área de concentração ?</t>
  </si>
  <si>
    <t>24-	As disciplinas ofertadas pelo PGMAT têm sido bem distribuídas por período letivo ?</t>
  </si>
  <si>
    <t>25-	Quando pertinente, quais foram as ações tomadas para mitigar os pontos negativos apresentados na autoavaliação anterior do PGMAT? (OPCIONAL)</t>
  </si>
  <si>
    <t>26-	Aponte pontos positivos e/ou negativos relativos ao desenvolvimento das suas atividades acadêmicas. (OPCIONAL)</t>
  </si>
  <si>
    <t>Discente (Aluno/a Mestrado, Doutorado, Pós-Doutorado)</t>
  </si>
  <si>
    <t>Cerâmica</t>
  </si>
  <si>
    <t>Não se aplica</t>
  </si>
  <si>
    <t>Positivos: Todos que trabalham na coordenação sempre me atenderam e estão dispostos a ajudar. Negativos: A oferta de disciplinas é baixa por semestre, poderia ser maior.</t>
  </si>
  <si>
    <t>Metais</t>
  </si>
  <si>
    <t>Docente</t>
  </si>
  <si>
    <t>Egresso</t>
  </si>
  <si>
    <t>Anterior a 2017</t>
  </si>
  <si>
    <t>Doutorado</t>
  </si>
  <si>
    <t>Polímeros</t>
  </si>
  <si>
    <t>Carência extrema das disciplinas ofertadas na área do polímeros. Professores titulares com longo período sem lecionar NENHUMA disciplina.</t>
  </si>
  <si>
    <t>Mestrado</t>
  </si>
  <si>
    <t>Staes</t>
  </si>
  <si>
    <t>Pós-Doutorado</t>
  </si>
  <si>
    <t>Excelente acesso a todos os Coordenadores e Secretário do PGMAT e ampla ajuda enquanto fui discente no PGMAT.</t>
  </si>
  <si>
    <t>N/A</t>
  </si>
  <si>
    <t>Acredito que essa seja a primeira vez que há autoavaliação no programa.</t>
  </si>
  <si>
    <t>Positivos: Programa conceito 7 CAPES; maioria dos docentes são acessíveis para retirar dúvidas fora do horário de aula; boa infraestrutura dos laboratórios; excelente formação dos professores. Negativos: poucas matérias disponibilizadas; o programa tem mais de 20 docentes, mas alguns destes não lecionam nenhuma disciplina por ano (existem professores que a mais de 2 anos não dão aula no programa); atas de reuniões não estão disponibilizadas no site do PGMAT.</t>
  </si>
  <si>
    <t xml:space="preserve">Positivos: poder desenvolver atividades acadêmicas em conjunto com a iniciativa privada (empresa) aproximando a academia da prática aplicada, onde os conceitos teóricos são profundamente compreendidos e posteriormente disseminados  através da visualização prática das situações.
Negativos: a pouca carga de disciplinas com conteúdo voltado aos minerais, especialmente aos industriais não metálicos, limita conhecimento e por consequência freia o desenvolvimento de tecnologias com recursos locais. Justifico tal tema em função da gigantesca riqueza mineral do Brasil que é a fonte das matérias-primas em todas as áreas de concentração (cerâmicos, metálicos e polimericos). Em todas as áreas temos, em algum momento, que compreender sua origem mineral ou interação com minerais.
Atraves de sólida experiência afirmo que a ótica de materiais aplicada aos minerais realmente contribui muito para geração de economia, arrecadação, desenvolvimento tecnológico e social, além de contribuir significativamente para o desenvolvimento industrial e ajudar o Brasil a exportar produtos com valor agregado e volume elevado, ou seja, posicionar o país de forma destacada com resultados econômicos significativos. 
Desta forma, a complementação da estratégia e missão do PGMAT com o tema dos minerais certamente dará origem e suporte ao desenvolvimento econômico consistente, além de expandir as fronteiras da base de conhecimento de seus alunos, preparando-os para transformar o ambiente brasileiro de forma mais acertada e rápida.
Assino: 
Felipe Augusto Corbellini de Souza 
</t>
  </si>
  <si>
    <t>Gostaria de enfatizar o incrível e excelente trabalho do orientador Dachamir Hotza.</t>
  </si>
  <si>
    <t>Disponibilizar mais disciplinas na área de Polímeros por trimestre.</t>
  </si>
  <si>
    <t xml:space="preserve">A citar como deficiências do PGMAT: 1) Desconheço os objetivos e metas, não me recordo que haver recebido emails de informação sobre tal ou instrução onde encontra-los. 2) Desconheço a possibilidade de apoio do PGMAT na revisão de artigos científicos em inglês. 3) Desconheço o planejamento orçamentário e a execução relativos ao PROEX no PGMAT.  4) Desconheço a que se referem como recursos suficientes para a realização de suas atividades acadêmicas NÃO PRESENCIAIS e PRESENCIAIS em minha posição como discente.
A respeito dos pontos positivos: 1) A secretaria e a coordenação sempre se mostraram acessíveis e colaborativos para tratar de assuntos acadêmicos variados. 2) Fácil acesso a reserva de salas/auditórios para fins acadêmicos.  3) A secretaria sempre se mostrou bem organizada quanto a emissão/assinatura de qualquer documentação demandada. 
 No que tange as disciplinas ofertadas, acredito que sejam suficientes em número. No entanto, acredito que as mesmas poderiam ser atualizadas e mais aprofundadas, uma vez que são ofertadas para pós-graduandos. Adicionalmente, acredito que trabalhos envolvendo pesquisa sobre os tópicos abordados nas disciplinas deveriam ser mais frequentes. Além disso, tópicos envolvendo modelagem matemática, simulação, e automação poderiam ser ofertadas no sentido que equiparar nosso curso com as tendencias internacionais em ciências dos materiais. Acredito que a UFSC já possua profissionais bem qualificados para isso e seria apenas um acordo entre institutos/departamentos. </t>
  </si>
  <si>
    <t>O atendimento da secretaria é excelente, o Rogério é um servidor próativo e dedicado em resolver os problemas de forma muito ágil.</t>
  </si>
  <si>
    <t>Recebí muito apoio dos professores, pessoal tecnico, e administrativo no PGMAT nas atividades acadêmicas.</t>
  </si>
  <si>
    <t>Ponto negativo: devido as restrições da pandemia, não esta sendo possível acessar a estrutura de laboratórios da universidade.
Ponto positivo: a prorrogação de prazo imposta pela pandemia.</t>
  </si>
  <si>
    <t>Deveríamos ter mais professoras mulheres no programa, a diversidade sempre trás oportunidades de inovação e maior competitividade. Além disso, acredito que os programas de pós deveriam também valorizar o desenvolvimento de softskills, ter um programa de desenvolvimentode carreiras para os mestrandos e doutorandos. Muitos mestrandos/doutorandos finalizam sua formação sem uma gama de competências fora do laboratório.  Outro ponto é que deveriam focar no desenvolvimentos de habilidades para o mercado de trabalho e nao apenas para dar aulas ou a própria academia. O brasil tem uma taxa de 25% de doutores desempregados, seria interessante que estes fossem qualificados para transformar suas perquisas em negócios, gerando tecnologia e riqueza. Por fim, acho que deveriamos ter disciplinas voltadas à tecnologia, como big data, industria 4.0, inteligencia artificial, ou alguma parceria com outros programas que tenham matérias diversas e os alunos fossem incentivados a cursar  disciplinas além do pgmat, por exemplo na computação,  design, produção,  civil, egc..</t>
  </si>
  <si>
    <t>Não consigo mitigar os pontos negativo por caus do covid-19</t>
  </si>
  <si>
    <t>Não consigo mitigar os pontos negativo ou positivo por caus do covid-19</t>
  </si>
  <si>
    <t>TOTAL RESPOSTAS</t>
  </si>
  <si>
    <t>NÃO SE APLICA</t>
  </si>
  <si>
    <t>RUIM</t>
  </si>
  <si>
    <t>BOM</t>
  </si>
  <si>
    <t>MUITO BOM</t>
  </si>
  <si>
    <t>questão 1</t>
  </si>
  <si>
    <t>questão 2</t>
  </si>
  <si>
    <t>questão 3</t>
  </si>
  <si>
    <t>questão 4</t>
  </si>
  <si>
    <t>questão 5</t>
  </si>
  <si>
    <t>questão 7</t>
  </si>
  <si>
    <t>questão 8</t>
  </si>
  <si>
    <t>questão 9</t>
  </si>
  <si>
    <t>questão 10</t>
  </si>
  <si>
    <t>questão 11</t>
  </si>
  <si>
    <t>questão 12</t>
  </si>
  <si>
    <t>questão 13</t>
  </si>
  <si>
    <t>questão 14</t>
  </si>
  <si>
    <t>questão 15</t>
  </si>
  <si>
    <t>questão 16</t>
  </si>
  <si>
    <t>questão 17</t>
  </si>
  <si>
    <t>questão 19</t>
  </si>
  <si>
    <t>questão 20</t>
  </si>
  <si>
    <t>questão 21</t>
  </si>
  <si>
    <t>questão 22</t>
  </si>
  <si>
    <t>questão 23</t>
  </si>
  <si>
    <t>questão 24</t>
  </si>
  <si>
    <t>questão 25</t>
  </si>
  <si>
    <t>questão 26</t>
  </si>
  <si>
    <t>ÓTIMO</t>
  </si>
  <si>
    <t>REGULAR</t>
  </si>
  <si>
    <t>INSTITUCIONAL</t>
  </si>
  <si>
    <t>questão 6</t>
  </si>
  <si>
    <t>questão 18</t>
  </si>
  <si>
    <t>2020.2</t>
  </si>
  <si>
    <t>2020.3</t>
  </si>
  <si>
    <t>QUESTÃO 05</t>
  </si>
  <si>
    <t>QUESTÃO 06</t>
  </si>
  <si>
    <t>QUESTÃO 07</t>
  </si>
  <si>
    <t>QUESTÃO 08</t>
  </si>
  <si>
    <t>%</t>
  </si>
  <si>
    <t>QUESTÃO 09</t>
  </si>
  <si>
    <t>QUESTÃO 10</t>
  </si>
  <si>
    <t>QUESTÃO 11</t>
  </si>
  <si>
    <t>ACUMULADO</t>
  </si>
  <si>
    <t>QUESTÃO 12</t>
  </si>
  <si>
    <t>QUESTÃO 13</t>
  </si>
  <si>
    <t>QUESTÃO 14</t>
  </si>
  <si>
    <t>QUESTÃO 15</t>
  </si>
  <si>
    <t>QUESTÃO 16</t>
  </si>
  <si>
    <t>QUESTÃO 17</t>
  </si>
  <si>
    <t>QUESTÃO 18</t>
  </si>
  <si>
    <t>QUESTÃO 19</t>
  </si>
  <si>
    <t>QUESTÃO 20</t>
  </si>
  <si>
    <t>QUESTÃO 21</t>
  </si>
  <si>
    <t>QUESTÃO 22</t>
  </si>
  <si>
    <t>QUESTÃO 23</t>
  </si>
  <si>
    <t>QUESTÃO 24</t>
  </si>
  <si>
    <t>[1] - AUTOAVALIAÇÃO INSTITUCIONAL</t>
  </si>
  <si>
    <t>[2] - AUTOAVALIAÇÃO DISCENTE - EGRESSO</t>
  </si>
  <si>
    <t>QUESTÃO 01</t>
  </si>
  <si>
    <t>QUESTÃO 02</t>
  </si>
  <si>
    <t>QUESTÃO 03</t>
  </si>
  <si>
    <t>QUESTÃO 04</t>
  </si>
  <si>
    <t>AVALIAÇÃO DISCENTE / EGRESSO - 2020.3</t>
  </si>
  <si>
    <t>AVALIAÇÃO DISCENTE / EGRESSO - 2020.2</t>
  </si>
  <si>
    <t>Positivo: Atividade administrativa excelente, interação com grupos de pesquisa e outros pesquisadores.  Negativa: Poucas matérias relevantes da minha área (muito básicas), falta de grupo de ajuda/ensino na confecção de artigos científicos</t>
  </si>
  <si>
    <t>LEGENDA : DISCIPLINAS</t>
  </si>
  <si>
    <t>AUTOAVALIAÇÃO INSTITUCIONAL PGMAT - UFSC (2020.2 - 2020.3)</t>
  </si>
  <si>
    <t>AUTOAVALIAÇÃO DISCENTE - EGRESSO PGMAT - UFSC (2020.2  - 2020.3)</t>
  </si>
  <si>
    <t>AUTOAVALIAÇÃO DISCIPLINAS / ORIENTAÇÃO  PGMAT - UFSC (2020.2 - 2020.3)</t>
  </si>
  <si>
    <t>TOTAL DE RESPOSTAS</t>
  </si>
  <si>
    <t>CERÂMICA</t>
  </si>
  <si>
    <t>METAIS</t>
  </si>
  <si>
    <t>POLÍMEROS</t>
  </si>
  <si>
    <t>[3] - Disciplina 2020.2</t>
  </si>
  <si>
    <t>[4] - Disciplina 2020.2</t>
  </si>
  <si>
    <t>[5]- Disciplina 2020.2</t>
  </si>
  <si>
    <t>[6] - Disciplina 2020.2</t>
  </si>
  <si>
    <t>[7] - Disciplina 2020.2</t>
  </si>
  <si>
    <t>[9] - Disciplina 2020.3</t>
  </si>
  <si>
    <t>[8] - Disciplina 2020.3</t>
  </si>
  <si>
    <t>[10] - Disciplina 2020.3</t>
  </si>
  <si>
    <t>[11] - Disciplina 2020.3</t>
  </si>
  <si>
    <t>[12] - Disciplina 2020.3</t>
  </si>
  <si>
    <t>[13] - Disciplina 2020.3</t>
  </si>
  <si>
    <t>AVALIAÇÃO INSTITUCIONAL  - 2020.2</t>
  </si>
  <si>
    <t>AVALIAÇÃO INSTITUCIONAL  - 2020.3</t>
  </si>
  <si>
    <t>2-REGULAR</t>
  </si>
  <si>
    <t>5-ÓTIMO</t>
  </si>
  <si>
    <t>4-MUITO BOM</t>
  </si>
  <si>
    <t>3-BOM</t>
  </si>
  <si>
    <t>1-RUIM</t>
  </si>
  <si>
    <t>0-NÃO SE APLICA</t>
  </si>
  <si>
    <t>Acumulado</t>
  </si>
  <si>
    <r>
      <t xml:space="preserve">QUESTÃO 02 - </t>
    </r>
    <r>
      <rPr>
        <sz val="16"/>
        <color theme="1"/>
        <rFont val="Arial"/>
        <family val="2"/>
      </rPr>
      <t>Qual a área de concentração que Atua/Atuou ?</t>
    </r>
  </si>
  <si>
    <t>LEGENDA</t>
  </si>
  <si>
    <t xml:space="preserve">    </t>
  </si>
  <si>
    <r>
      <t xml:space="preserve">QUESTÃO 03 - </t>
    </r>
    <r>
      <rPr>
        <sz val="14"/>
        <color theme="1"/>
        <rFont val="Arial"/>
        <family val="2"/>
      </rPr>
      <t xml:space="preserve">SE FOR EGRESSO, EM QUE ANO VOCÊ SE FORMOU ? </t>
    </r>
  </si>
  <si>
    <r>
      <t xml:space="preserve">QUESTÃO 00 - </t>
    </r>
    <r>
      <rPr>
        <b/>
        <sz val="16"/>
        <color theme="1"/>
        <rFont val="Arial"/>
        <family val="2"/>
      </rPr>
      <t>Qual a sua atuação no PGMAT?</t>
    </r>
  </si>
  <si>
    <r>
      <t>QUESTÃO 04 -</t>
    </r>
    <r>
      <rPr>
        <sz val="15"/>
        <color theme="1"/>
        <rFont val="Arial"/>
        <family val="2"/>
      </rPr>
      <t xml:space="preserve"> Se for Egresso, em que curso / nível se formou (mais recente) ?</t>
    </r>
  </si>
  <si>
    <t>NÃO SE APLICA / NÃO SEI</t>
  </si>
  <si>
    <t>RUIM / REGULAR</t>
  </si>
  <si>
    <t>MUITO BOM / ÓTIMO</t>
  </si>
  <si>
    <r>
      <t>TOTAL RESPOSTAS [</t>
    </r>
    <r>
      <rPr>
        <b/>
        <sz val="16"/>
        <color rgb="FF000000"/>
        <rFont val="Arial"/>
        <family val="2"/>
      </rPr>
      <t>ATUALIZADO: 19/04/2021</t>
    </r>
    <r>
      <rPr>
        <sz val="16"/>
        <color rgb="FF000000"/>
        <rFont val="Arial"/>
        <family val="2"/>
      </rPr>
      <t>]</t>
    </r>
  </si>
  <si>
    <t>LEGENDA - GRÁFICOS E TABELAS</t>
  </si>
  <si>
    <t>AVALIAÇÃO DAS DISCIPLINAS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</si>
</sst>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h:mm:ss"/>
    <numFmt numFmtId="165" formatCode="0.0"/>
  </numFmts>
  <fonts count="62" x14ac:knownFonts="1">
    <font>
      <sz val="10"/>
      <color rgb="FF000000"/>
      <name val="Arial"/>
    </font>
    <font>
      <sz val="12"/>
      <color theme="1"/>
      <name val="Arial"/>
      <family val="2"/>
      <scheme val="minor"/>
    </font>
    <font>
      <sz val="10"/>
      <color theme="1"/>
      <name val="Arial"/>
      <family val="2"/>
    </font>
    <font>
      <sz val="10"/>
      <color rgb="FF000000"/>
      <name val="Arial"/>
      <family val="2"/>
    </font>
    <font>
      <sz val="10"/>
      <name val="Arial"/>
      <family val="2"/>
    </font>
    <font>
      <b/>
      <sz val="10"/>
      <color rgb="FF000000"/>
      <name val="Arial"/>
      <family val="2"/>
    </font>
    <font>
      <sz val="10"/>
      <color rgb="FF000000"/>
      <name val="Arial"/>
      <family val="2"/>
    </font>
    <font>
      <sz val="8"/>
      <name val="Arial"/>
      <family val="2"/>
    </font>
    <font>
      <sz val="10"/>
      <name val="Arial"/>
      <family val="2"/>
    </font>
    <font>
      <sz val="10"/>
      <color theme="0"/>
      <name val="Arial"/>
      <family val="2"/>
    </font>
    <font>
      <b/>
      <sz val="12"/>
      <color theme="2"/>
      <name val="Arial"/>
      <family val="2"/>
    </font>
    <font>
      <sz val="12"/>
      <color rgb="FF000000"/>
      <name val="Arial"/>
      <family val="2"/>
    </font>
    <font>
      <b/>
      <sz val="12"/>
      <color rgb="FF000000"/>
      <name val="Arial"/>
      <family val="2"/>
    </font>
    <font>
      <b/>
      <sz val="12"/>
      <color theme="1"/>
      <name val="Arial"/>
      <family val="2"/>
    </font>
    <font>
      <sz val="12"/>
      <color theme="2"/>
      <name val="Arial"/>
      <family val="2"/>
    </font>
    <font>
      <sz val="12"/>
      <color rgb="FFFF0000"/>
      <name val="Arial"/>
      <family val="2"/>
    </font>
    <font>
      <sz val="8"/>
      <name val="Arial"/>
      <family val="2"/>
    </font>
    <font>
      <b/>
      <sz val="36"/>
      <color rgb="FF000000"/>
      <name val="Arial"/>
      <family val="2"/>
      <scheme val="major"/>
    </font>
    <font>
      <sz val="16"/>
      <color rgb="FF000000"/>
      <name val="Arial"/>
      <family val="2"/>
    </font>
    <font>
      <b/>
      <sz val="16"/>
      <color rgb="FF000000"/>
      <name val="Arial"/>
      <family val="2"/>
    </font>
    <font>
      <sz val="10"/>
      <color theme="1"/>
      <name val="Arial"/>
      <family val="2"/>
    </font>
    <font>
      <sz val="14"/>
      <color rgb="FF000000"/>
      <name val="Arial"/>
      <family val="2"/>
    </font>
    <font>
      <b/>
      <sz val="14"/>
      <color theme="1"/>
      <name val="Arial"/>
      <family val="2"/>
    </font>
    <font>
      <b/>
      <sz val="14"/>
      <color rgb="FF000000"/>
      <name val="Arial"/>
      <family val="2"/>
    </font>
    <font>
      <sz val="24"/>
      <color rgb="FF000000"/>
      <name val="Arial"/>
      <family val="2"/>
    </font>
    <font>
      <sz val="18"/>
      <color rgb="FF000000"/>
      <name val="Arial"/>
      <family val="2"/>
    </font>
    <font>
      <sz val="14"/>
      <color rgb="FF00B050"/>
      <name val="Arial"/>
      <family val="2"/>
    </font>
    <font>
      <sz val="22"/>
      <color theme="4" tint="-0.499984740745262"/>
      <name val="Arial"/>
      <family val="2"/>
    </font>
    <font>
      <sz val="10"/>
      <color rgb="FF7030A0"/>
      <name val="Arial"/>
      <family val="2"/>
    </font>
    <font>
      <sz val="12"/>
      <color rgb="FF7030A0"/>
      <name val="Arial"/>
      <family val="2"/>
    </font>
    <font>
      <sz val="11"/>
      <color rgb="FF000000"/>
      <name val="Arial"/>
      <family val="2"/>
    </font>
    <font>
      <sz val="11"/>
      <color rgb="FF002060"/>
      <name val="Arial"/>
      <family val="2"/>
    </font>
    <font>
      <sz val="12"/>
      <color rgb="FFC00000"/>
      <name val="Arial"/>
      <family val="2"/>
    </font>
    <font>
      <sz val="11"/>
      <color rgb="FF7030A0"/>
      <name val="Arial"/>
      <family val="2"/>
    </font>
    <font>
      <b/>
      <sz val="16"/>
      <color theme="4" tint="-0.499984740745262"/>
      <name val="Arial"/>
      <family val="2"/>
    </font>
    <font>
      <b/>
      <sz val="12"/>
      <color theme="7" tint="-0.249977111117893"/>
      <name val="Arial"/>
      <family val="2"/>
    </font>
    <font>
      <b/>
      <sz val="14"/>
      <color theme="5"/>
      <name val="Arial"/>
      <family val="2"/>
    </font>
    <font>
      <sz val="14"/>
      <color rgb="FF002060"/>
      <name val="Arial"/>
      <family val="2"/>
    </font>
    <font>
      <b/>
      <sz val="14"/>
      <color rgb="FF002060"/>
      <name val="Arial"/>
      <family val="2"/>
    </font>
    <font>
      <sz val="12"/>
      <color theme="0"/>
      <name val="Arial"/>
      <family val="2"/>
    </font>
    <font>
      <sz val="11"/>
      <color theme="4" tint="-0.249977111117893"/>
      <name val="Arial"/>
      <family val="2"/>
    </font>
    <font>
      <sz val="16"/>
      <color rgb="FF00B050"/>
      <name val="Arial"/>
      <family val="2"/>
    </font>
    <font>
      <sz val="16"/>
      <color theme="1"/>
      <name val="Arial"/>
      <family val="2"/>
    </font>
    <font>
      <b/>
      <sz val="14"/>
      <color theme="0"/>
      <name val="Arial"/>
      <family val="2"/>
    </font>
    <font>
      <sz val="16"/>
      <color theme="2"/>
      <name val="Arial"/>
      <family val="2"/>
    </font>
    <font>
      <sz val="20"/>
      <color theme="0"/>
      <name val="Arial"/>
      <family val="2"/>
    </font>
    <font>
      <sz val="14"/>
      <color theme="1"/>
      <name val="Arial"/>
      <family val="2"/>
    </font>
    <font>
      <sz val="10"/>
      <color rgb="FFFF0000"/>
      <name val="Arial"/>
      <family val="2"/>
    </font>
    <font>
      <b/>
      <sz val="16"/>
      <color rgb="FF00B050"/>
      <name val="Arial"/>
      <family val="2"/>
    </font>
    <font>
      <b/>
      <sz val="16"/>
      <color theme="1"/>
      <name val="Arial"/>
      <family val="2"/>
    </font>
    <font>
      <b/>
      <sz val="12"/>
      <name val="Arial"/>
      <family val="2"/>
    </font>
    <font>
      <sz val="12"/>
      <name val="Arial"/>
      <family val="2"/>
    </font>
    <font>
      <sz val="15"/>
      <color rgb="FF00B050"/>
      <name val="Arial"/>
      <family val="2"/>
    </font>
    <font>
      <sz val="15"/>
      <color theme="1"/>
      <name val="Arial"/>
      <family val="2"/>
    </font>
    <font>
      <sz val="12"/>
      <color theme="1"/>
      <name val="Arial"/>
      <family val="2"/>
    </font>
    <font>
      <sz val="10"/>
      <color theme="1"/>
      <name val="Arial"/>
      <family val="2"/>
    </font>
    <font>
      <sz val="20"/>
      <color theme="5" tint="-0.249977111117893"/>
      <name val="Arial"/>
      <family val="2"/>
    </font>
    <font>
      <b/>
      <sz val="20"/>
      <color theme="0"/>
      <name val="Arial"/>
      <family val="2"/>
    </font>
    <font>
      <b/>
      <sz val="20"/>
      <color theme="0"/>
      <name val="Arial"/>
      <family val="2"/>
      <scheme val="major"/>
    </font>
    <font>
      <sz val="18"/>
      <color theme="7" tint="-0.499984740745262"/>
      <name val="Arial"/>
      <family val="2"/>
    </font>
    <font>
      <b/>
      <sz val="16"/>
      <color theme="7" tint="-0.499984740745262"/>
      <name val="Arial"/>
      <family val="2"/>
    </font>
    <font>
      <sz val="16"/>
      <color theme="0"/>
      <name val="Arial"/>
      <family val="2"/>
    </font>
  </fonts>
  <fills count="11">
    <fill>
      <patternFill patternType="none"/>
    </fill>
    <fill>
      <patternFill patternType="gray125"/>
    </fill>
    <fill>
      <patternFill patternType="solid">
        <fgColor rgb="FFFFFFFF"/>
        <bgColor rgb="FFFFFFFF"/>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2060"/>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tint="-0.499984740745262"/>
        <bgColor indexed="64"/>
      </patternFill>
    </fill>
    <fill>
      <patternFill patternType="solid">
        <fgColor rgb="FF00FF00"/>
        <bgColor indexed="64"/>
      </patternFill>
    </fill>
  </fills>
  <borders count="23">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indexed="64"/>
      </bottom>
      <diagonal/>
    </border>
  </borders>
  <cellStyleXfs count="2">
    <xf numFmtId="0" fontId="0" fillId="0" borderId="0"/>
    <xf numFmtId="9" fontId="3" fillId="0" borderId="0" applyFont="0" applyFill="0" applyBorder="0" applyAlignment="0" applyProtection="0"/>
  </cellStyleXfs>
  <cellXfs count="212">
    <xf numFmtId="0" fontId="0" fillId="0" borderId="0" xfId="0"/>
    <xf numFmtId="0" fontId="2" fillId="0" borderId="0" xfId="0" applyFont="1"/>
    <xf numFmtId="164" fontId="2" fillId="0" borderId="0" xfId="0" applyNumberFormat="1" applyFont="1"/>
    <xf numFmtId="164" fontId="4" fillId="0" borderId="0" xfId="0" applyNumberFormat="1" applyFont="1"/>
    <xf numFmtId="0" fontId="2" fillId="2" borderId="0" xfId="0" applyFont="1" applyFill="1"/>
    <xf numFmtId="0" fontId="0" fillId="0" borderId="1" xfId="0" applyBorder="1" applyAlignment="1">
      <alignment horizontal="center"/>
    </xf>
    <xf numFmtId="0" fontId="5" fillId="0" borderId="2" xfId="0" applyFont="1" applyBorder="1" applyAlignment="1">
      <alignment horizontal="center"/>
    </xf>
    <xf numFmtId="9" fontId="0" fillId="0" borderId="0" xfId="1" applyFont="1" applyAlignment="1"/>
    <xf numFmtId="1" fontId="0" fillId="0" borderId="0" xfId="1" applyNumberFormat="1" applyFont="1" applyAlignment="1">
      <alignment horizontal="center"/>
    </xf>
    <xf numFmtId="0" fontId="6" fillId="4" borderId="0" xfId="0" applyFont="1" applyFill="1" applyAlignment="1">
      <alignment horizontal="right"/>
    </xf>
    <xf numFmtId="0" fontId="5" fillId="0" borderId="0" xfId="0" applyFont="1"/>
    <xf numFmtId="0" fontId="11" fillId="0" borderId="0" xfId="0" applyFont="1"/>
    <xf numFmtId="0" fontId="12" fillId="0" borderId="0" xfId="0" applyFont="1"/>
    <xf numFmtId="0" fontId="13" fillId="0" borderId="0" xfId="0" applyFont="1"/>
    <xf numFmtId="0" fontId="10" fillId="5" borderId="0" xfId="0" applyFont="1" applyFill="1" applyAlignment="1">
      <alignment horizontal="center"/>
    </xf>
    <xf numFmtId="0" fontId="0" fillId="6" borderId="0" xfId="0" applyFill="1"/>
    <xf numFmtId="0" fontId="11" fillId="6" borderId="0" xfId="0" applyFont="1" applyFill="1"/>
    <xf numFmtId="0" fontId="22" fillId="6" borderId="0" xfId="0" applyFont="1" applyFill="1"/>
    <xf numFmtId="0" fontId="12" fillId="6" borderId="0" xfId="0" applyFont="1" applyFill="1"/>
    <xf numFmtId="0" fontId="11" fillId="6" borderId="0" xfId="0" applyFont="1" applyFill="1" applyAlignment="1">
      <alignment horizontal="right"/>
    </xf>
    <xf numFmtId="0" fontId="14" fillId="6" borderId="0" xfId="0" applyFont="1" applyFill="1" applyAlignment="1">
      <alignment horizontal="right"/>
    </xf>
    <xf numFmtId="9" fontId="12" fillId="6" borderId="0" xfId="0" applyNumberFormat="1" applyFont="1" applyFill="1"/>
    <xf numFmtId="0" fontId="24" fillId="6" borderId="0" xfId="0" applyFont="1" applyFill="1" applyAlignment="1">
      <alignment vertical="center"/>
    </xf>
    <xf numFmtId="0" fontId="12" fillId="6" borderId="0" xfId="0" applyFont="1" applyFill="1" applyAlignment="1">
      <alignment horizontal="center"/>
    </xf>
    <xf numFmtId="9" fontId="11" fillId="6" borderId="6" xfId="1" applyFont="1" applyFill="1" applyBorder="1" applyAlignment="1">
      <alignment horizontal="center"/>
    </xf>
    <xf numFmtId="9" fontId="11" fillId="6" borderId="7" xfId="1" applyFont="1" applyFill="1" applyBorder="1" applyAlignment="1">
      <alignment horizontal="center"/>
    </xf>
    <xf numFmtId="9" fontId="11" fillId="6" borderId="8" xfId="1" applyFont="1" applyFill="1" applyBorder="1" applyAlignment="1">
      <alignment horizontal="center"/>
    </xf>
    <xf numFmtId="9" fontId="11" fillId="6" borderId="9" xfId="1" applyFont="1" applyFill="1" applyBorder="1" applyAlignment="1">
      <alignment horizontal="center"/>
    </xf>
    <xf numFmtId="9" fontId="11" fillId="6" borderId="10" xfId="1" applyFont="1" applyFill="1" applyBorder="1" applyAlignment="1">
      <alignment horizontal="center"/>
    </xf>
    <xf numFmtId="9" fontId="11" fillId="6" borderId="11" xfId="1" applyFont="1" applyFill="1" applyBorder="1" applyAlignment="1">
      <alignment horizontal="center"/>
    </xf>
    <xf numFmtId="0" fontId="25" fillId="6" borderId="0" xfId="0" applyFont="1" applyFill="1" applyAlignment="1">
      <alignment horizontal="center"/>
    </xf>
    <xf numFmtId="0" fontId="0" fillId="6" borderId="9" xfId="0" applyFill="1" applyBorder="1"/>
    <xf numFmtId="0" fontId="26" fillId="6" borderId="0" xfId="0" applyFont="1" applyFill="1" applyAlignment="1">
      <alignment horizontal="center"/>
    </xf>
    <xf numFmtId="0" fontId="0" fillId="6" borderId="8" xfId="0" applyFill="1" applyBorder="1"/>
    <xf numFmtId="165" fontId="11" fillId="6" borderId="0" xfId="1" applyNumberFormat="1" applyFont="1" applyFill="1" applyAlignment="1"/>
    <xf numFmtId="9" fontId="15" fillId="6" borderId="0" xfId="1" applyFont="1" applyFill="1" applyAlignment="1">
      <alignment horizontal="right"/>
    </xf>
    <xf numFmtId="0" fontId="12" fillId="6" borderId="0" xfId="0" applyFont="1" applyFill="1" applyAlignment="1">
      <alignment horizontal="right" vertical="center"/>
    </xf>
    <xf numFmtId="9" fontId="22" fillId="6" borderId="0" xfId="0" applyNumberFormat="1" applyFont="1" applyFill="1"/>
    <xf numFmtId="9" fontId="11" fillId="6" borderId="7" xfId="1" applyFont="1" applyFill="1" applyBorder="1" applyAlignment="1"/>
    <xf numFmtId="9" fontId="11" fillId="6" borderId="9" xfId="1" applyFont="1" applyFill="1" applyBorder="1" applyAlignment="1"/>
    <xf numFmtId="9" fontId="11" fillId="6" borderId="11" xfId="1" applyFont="1" applyFill="1" applyBorder="1" applyAlignment="1"/>
    <xf numFmtId="0" fontId="20" fillId="0" borderId="0" xfId="0" applyFont="1"/>
    <xf numFmtId="0" fontId="11" fillId="3" borderId="0" xfId="0" applyFont="1" applyFill="1"/>
    <xf numFmtId="0" fontId="0" fillId="6" borderId="0" xfId="0" applyFill="1" applyAlignment="1">
      <alignment horizontal="center" vertical="center"/>
    </xf>
    <xf numFmtId="0" fontId="0" fillId="6" borderId="12" xfId="0" applyFill="1" applyBorder="1" applyAlignment="1">
      <alignment horizontal="center"/>
    </xf>
    <xf numFmtId="0" fontId="0" fillId="0" borderId="8" xfId="0" applyBorder="1" applyAlignment="1">
      <alignment horizontal="center"/>
    </xf>
    <xf numFmtId="0" fontId="0" fillId="6" borderId="8" xfId="0" applyFill="1" applyBorder="1" applyAlignment="1">
      <alignment horizontal="center"/>
    </xf>
    <xf numFmtId="0" fontId="20" fillId="2" borderId="0" xfId="0" applyFont="1" applyFill="1"/>
    <xf numFmtId="0" fontId="5" fillId="6" borderId="0" xfId="0" applyFont="1" applyFill="1" applyAlignment="1">
      <alignment horizontal="center"/>
    </xf>
    <xf numFmtId="9" fontId="9" fillId="6" borderId="0" xfId="1" applyFont="1" applyFill="1" applyAlignment="1">
      <alignment horizontal="left"/>
    </xf>
    <xf numFmtId="9" fontId="8" fillId="6" borderId="0" xfId="0" applyNumberFormat="1" applyFont="1" applyFill="1"/>
    <xf numFmtId="0" fontId="10" fillId="6" borderId="0" xfId="0" applyFont="1" applyFill="1"/>
    <xf numFmtId="0" fontId="11" fillId="6" borderId="4" xfId="0" applyFont="1" applyFill="1" applyBorder="1" applyAlignment="1">
      <alignment horizontal="center"/>
    </xf>
    <xf numFmtId="0" fontId="11" fillId="6" borderId="9" xfId="0" applyFont="1" applyFill="1" applyBorder="1" applyAlignment="1">
      <alignment horizontal="right"/>
    </xf>
    <xf numFmtId="0" fontId="30" fillId="6" borderId="9" xfId="0" applyFont="1" applyFill="1" applyBorder="1" applyAlignment="1">
      <alignment horizontal="right"/>
    </xf>
    <xf numFmtId="0" fontId="3" fillId="0" borderId="4" xfId="0" applyFont="1" applyBorder="1" applyAlignment="1">
      <alignment horizontal="center"/>
    </xf>
    <xf numFmtId="0" fontId="31" fillId="0" borderId="0" xfId="0" applyFont="1"/>
    <xf numFmtId="0" fontId="21" fillId="6" borderId="12" xfId="0" applyFont="1" applyFill="1" applyBorder="1" applyAlignment="1">
      <alignment horizontal="center"/>
    </xf>
    <xf numFmtId="1" fontId="32" fillId="6" borderId="0" xfId="0" applyNumberFormat="1" applyFont="1" applyFill="1" applyAlignment="1">
      <alignment horizontal="left"/>
    </xf>
    <xf numFmtId="0" fontId="0" fillId="6" borderId="0" xfId="0" applyFill="1" applyAlignment="1">
      <alignment horizontal="center"/>
    </xf>
    <xf numFmtId="0" fontId="29" fillId="6" borderId="0" xfId="0" applyFont="1" applyFill="1"/>
    <xf numFmtId="0" fontId="28" fillId="6" borderId="0" xfId="0" applyFont="1" applyFill="1"/>
    <xf numFmtId="0" fontId="28" fillId="6" borderId="0" xfId="0" applyFont="1" applyFill="1" applyAlignment="1">
      <alignment horizontal="right"/>
    </xf>
    <xf numFmtId="22" fontId="3" fillId="0" borderId="0" xfId="0" applyNumberFormat="1" applyFont="1"/>
    <xf numFmtId="0" fontId="3" fillId="0" borderId="0" xfId="0" applyFont="1"/>
    <xf numFmtId="0" fontId="33" fillId="6" borderId="0" xfId="0" applyFont="1" applyFill="1" applyAlignment="1">
      <alignment horizontal="right" vertical="top"/>
    </xf>
    <xf numFmtId="0" fontId="11" fillId="6" borderId="1" xfId="0" applyFont="1" applyFill="1" applyBorder="1" applyAlignment="1">
      <alignment horizontal="right"/>
    </xf>
    <xf numFmtId="0" fontId="11" fillId="6" borderId="12" xfId="0" applyFont="1" applyFill="1" applyBorder="1" applyAlignment="1">
      <alignment horizontal="right"/>
    </xf>
    <xf numFmtId="0" fontId="11" fillId="6" borderId="2" xfId="0" applyFont="1" applyFill="1" applyBorder="1" applyAlignment="1">
      <alignment horizontal="right"/>
    </xf>
    <xf numFmtId="9" fontId="11" fillId="6" borderId="5" xfId="1" applyFont="1" applyFill="1" applyBorder="1" applyAlignment="1">
      <alignment horizontal="center"/>
    </xf>
    <xf numFmtId="9" fontId="11" fillId="6" borderId="0" xfId="1" applyFont="1" applyFill="1" applyBorder="1" applyAlignment="1">
      <alignment horizontal="center"/>
    </xf>
    <xf numFmtId="9" fontId="11" fillId="6" borderId="3" xfId="1" applyFont="1" applyFill="1" applyBorder="1" applyAlignment="1">
      <alignment horizontal="center"/>
    </xf>
    <xf numFmtId="0" fontId="0" fillId="6" borderId="0" xfId="0" applyFill="1" applyAlignment="1">
      <alignment horizontal="right"/>
    </xf>
    <xf numFmtId="0" fontId="24" fillId="6" borderId="0" xfId="0" applyFont="1" applyFill="1" applyAlignment="1">
      <alignment horizontal="right" vertical="center"/>
    </xf>
    <xf numFmtId="0" fontId="0" fillId="6" borderId="0" xfId="0" applyFill="1" applyAlignment="1">
      <alignment horizontal="right" vertical="center"/>
    </xf>
    <xf numFmtId="0" fontId="12" fillId="3" borderId="0" xfId="0" applyFont="1" applyFill="1" applyAlignment="1">
      <alignment horizontal="right" vertical="center"/>
    </xf>
    <xf numFmtId="0" fontId="11" fillId="6" borderId="6" xfId="0" applyFont="1" applyFill="1" applyBorder="1" applyAlignment="1">
      <alignment horizontal="right"/>
    </xf>
    <xf numFmtId="0" fontId="11" fillId="6" borderId="8" xfId="0" applyFont="1" applyFill="1" applyBorder="1" applyAlignment="1">
      <alignment horizontal="right"/>
    </xf>
    <xf numFmtId="0" fontId="11" fillId="6" borderId="10" xfId="0" applyFont="1" applyFill="1" applyBorder="1" applyAlignment="1">
      <alignment horizontal="right"/>
    </xf>
    <xf numFmtId="0" fontId="12" fillId="3" borderId="0" xfId="0" applyFont="1" applyFill="1" applyAlignment="1">
      <alignment horizontal="right"/>
    </xf>
    <xf numFmtId="0" fontId="34" fillId="6" borderId="12" xfId="0" applyFont="1" applyFill="1" applyBorder="1" applyAlignment="1">
      <alignment horizontal="left"/>
    </xf>
    <xf numFmtId="0" fontId="34" fillId="6" borderId="8" xfId="0" applyFont="1" applyFill="1" applyBorder="1" applyAlignment="1">
      <alignment horizontal="left"/>
    </xf>
    <xf numFmtId="0" fontId="35" fillId="0" borderId="12" xfId="0" applyFont="1" applyBorder="1" applyAlignment="1">
      <alignment horizontal="left"/>
    </xf>
    <xf numFmtId="0" fontId="0" fillId="0" borderId="3" xfId="0" applyBorder="1"/>
    <xf numFmtId="0" fontId="36" fillId="0" borderId="0" xfId="0" applyFont="1" applyAlignment="1">
      <alignment horizontal="center"/>
    </xf>
    <xf numFmtId="0" fontId="36" fillId="6" borderId="0" xfId="0" applyFont="1" applyFill="1" applyAlignment="1">
      <alignment horizontal="center"/>
    </xf>
    <xf numFmtId="0" fontId="34" fillId="6" borderId="9" xfId="0" applyFont="1" applyFill="1" applyBorder="1" applyAlignment="1">
      <alignment horizontal="left"/>
    </xf>
    <xf numFmtId="0" fontId="21" fillId="0" borderId="0" xfId="0" applyFont="1"/>
    <xf numFmtId="0" fontId="23" fillId="0" borderId="0" xfId="0" applyFont="1"/>
    <xf numFmtId="0" fontId="0" fillId="0" borderId="5" xfId="0" applyBorder="1"/>
    <xf numFmtId="0" fontId="34" fillId="0" borderId="5" xfId="0" applyFont="1" applyBorder="1" applyAlignment="1">
      <alignment horizontal="left"/>
    </xf>
    <xf numFmtId="0" fontId="2" fillId="0" borderId="0" xfId="0" applyFont="1" applyAlignment="1">
      <alignment horizontal="center"/>
    </xf>
    <xf numFmtId="0" fontId="0" fillId="0" borderId="0" xfId="0" applyAlignment="1">
      <alignment horizontal="center"/>
    </xf>
    <xf numFmtId="0" fontId="18" fillId="0" borderId="0" xfId="0" applyFont="1" applyAlignment="1">
      <alignment horizontal="left"/>
    </xf>
    <xf numFmtId="0" fontId="12" fillId="6" borderId="1" xfId="0" applyFont="1" applyFill="1" applyBorder="1" applyAlignment="1">
      <alignment horizontal="center"/>
    </xf>
    <xf numFmtId="0" fontId="12" fillId="6" borderId="12" xfId="0" applyFont="1" applyFill="1" applyBorder="1" applyAlignment="1">
      <alignment horizontal="center"/>
    </xf>
    <xf numFmtId="0" fontId="12" fillId="6" borderId="2" xfId="0" applyFont="1" applyFill="1" applyBorder="1" applyAlignment="1">
      <alignment horizontal="center"/>
    </xf>
    <xf numFmtId="0" fontId="38" fillId="6" borderId="0" xfId="0" applyFont="1" applyFill="1"/>
    <xf numFmtId="9" fontId="11" fillId="6" borderId="6" xfId="0" applyNumberFormat="1" applyFont="1" applyFill="1" applyBorder="1" applyAlignment="1">
      <alignment horizontal="center"/>
    </xf>
    <xf numFmtId="9" fontId="11" fillId="6" borderId="7" xfId="0" applyNumberFormat="1" applyFont="1" applyFill="1" applyBorder="1" applyAlignment="1">
      <alignment horizontal="center"/>
    </xf>
    <xf numFmtId="9" fontId="11" fillId="6" borderId="8" xfId="0" applyNumberFormat="1" applyFont="1" applyFill="1" applyBorder="1" applyAlignment="1">
      <alignment horizontal="center"/>
    </xf>
    <xf numFmtId="9" fontId="11" fillId="6" borderId="9" xfId="0" applyNumberFormat="1" applyFont="1" applyFill="1" applyBorder="1" applyAlignment="1">
      <alignment horizontal="center"/>
    </xf>
    <xf numFmtId="9" fontId="11" fillId="6" borderId="10" xfId="0" applyNumberFormat="1" applyFont="1" applyFill="1" applyBorder="1" applyAlignment="1">
      <alignment horizontal="center"/>
    </xf>
    <xf numFmtId="9" fontId="11" fillId="6" borderId="11" xfId="0" applyNumberFormat="1" applyFont="1" applyFill="1" applyBorder="1" applyAlignment="1">
      <alignment horizontal="center"/>
    </xf>
    <xf numFmtId="0" fontId="1" fillId="6" borderId="0" xfId="0" applyFont="1" applyFill="1" applyAlignment="1">
      <alignment horizontal="left" indent="1"/>
    </xf>
    <xf numFmtId="9" fontId="39" fillId="6" borderId="0" xfId="1" applyFont="1" applyFill="1" applyAlignment="1">
      <alignment horizontal="right"/>
    </xf>
    <xf numFmtId="0" fontId="39" fillId="6" borderId="0" xfId="0" applyFont="1" applyFill="1"/>
    <xf numFmtId="9" fontId="11" fillId="6" borderId="0" xfId="0" applyNumberFormat="1" applyFont="1" applyFill="1" applyAlignment="1">
      <alignment horizontal="center"/>
    </xf>
    <xf numFmtId="0" fontId="9" fillId="6" borderId="9" xfId="0" applyFont="1" applyFill="1" applyBorder="1" applyAlignment="1">
      <alignment horizontal="right"/>
    </xf>
    <xf numFmtId="0" fontId="12" fillId="3" borderId="6" xfId="0" applyFont="1" applyFill="1" applyBorder="1" applyAlignment="1">
      <alignment horizontal="left"/>
    </xf>
    <xf numFmtId="0" fontId="12" fillId="3" borderId="8" xfId="0" applyFont="1" applyFill="1" applyBorder="1" applyAlignment="1">
      <alignment horizontal="left"/>
    </xf>
    <xf numFmtId="0" fontId="12" fillId="3" borderId="10" xfId="0" applyFont="1" applyFill="1" applyBorder="1" applyAlignment="1">
      <alignment horizontal="left"/>
    </xf>
    <xf numFmtId="0" fontId="0" fillId="3" borderId="0" xfId="0" applyFill="1" applyAlignment="1">
      <alignment horizontal="right"/>
    </xf>
    <xf numFmtId="0" fontId="12" fillId="3" borderId="0" xfId="0" applyFont="1" applyFill="1" applyAlignment="1">
      <alignment horizontal="center"/>
    </xf>
    <xf numFmtId="9" fontId="11" fillId="6" borderId="1" xfId="0" applyNumberFormat="1" applyFont="1" applyFill="1" applyBorder="1" applyAlignment="1">
      <alignment horizontal="center"/>
    </xf>
    <xf numFmtId="9" fontId="11" fillId="6" borderId="12" xfId="0" applyNumberFormat="1" applyFont="1" applyFill="1" applyBorder="1" applyAlignment="1">
      <alignment horizontal="center"/>
    </xf>
    <xf numFmtId="9" fontId="11" fillId="6" borderId="2" xfId="0" applyNumberFormat="1" applyFont="1" applyFill="1" applyBorder="1" applyAlignment="1">
      <alignment horizontal="center"/>
    </xf>
    <xf numFmtId="0" fontId="11" fillId="6" borderId="0" xfId="0" applyFont="1" applyFill="1" applyAlignment="1">
      <alignment horizontal="center" vertical="center"/>
    </xf>
    <xf numFmtId="0" fontId="12" fillId="6" borderId="0" xfId="0" applyFont="1" applyFill="1" applyAlignment="1">
      <alignment horizontal="right"/>
    </xf>
    <xf numFmtId="9" fontId="11" fillId="6" borderId="5" xfId="0" applyNumberFormat="1" applyFont="1" applyFill="1" applyBorder="1" applyAlignment="1">
      <alignment horizontal="center"/>
    </xf>
    <xf numFmtId="9" fontId="11" fillId="6" borderId="3" xfId="0" applyNumberFormat="1" applyFont="1" applyFill="1" applyBorder="1" applyAlignment="1">
      <alignment horizontal="center"/>
    </xf>
    <xf numFmtId="0" fontId="12" fillId="3" borderId="1" xfId="0" applyFont="1" applyFill="1" applyBorder="1" applyAlignment="1">
      <alignment horizontal="left"/>
    </xf>
    <xf numFmtId="0" fontId="12" fillId="3" borderId="12" xfId="0" applyFont="1" applyFill="1" applyBorder="1" applyAlignment="1">
      <alignment horizontal="left"/>
    </xf>
    <xf numFmtId="0" fontId="12" fillId="3" borderId="2" xfId="0" applyFont="1" applyFill="1" applyBorder="1" applyAlignment="1">
      <alignment horizontal="left"/>
    </xf>
    <xf numFmtId="0" fontId="3" fillId="6" borderId="0" xfId="0" applyFont="1" applyFill="1"/>
    <xf numFmtId="0" fontId="21" fillId="6" borderId="0" xfId="0" applyFont="1" applyFill="1" applyAlignment="1">
      <alignment horizontal="right"/>
    </xf>
    <xf numFmtId="1" fontId="21" fillId="0" borderId="8" xfId="1" applyNumberFormat="1" applyFont="1" applyBorder="1" applyAlignment="1">
      <alignment horizontal="left"/>
    </xf>
    <xf numFmtId="9" fontId="32" fillId="0" borderId="0" xfId="1" applyFont="1" applyAlignment="1">
      <alignment horizontal="right"/>
    </xf>
    <xf numFmtId="1" fontId="32" fillId="0" borderId="0" xfId="0" applyNumberFormat="1" applyFont="1" applyAlignment="1">
      <alignment horizontal="right"/>
    </xf>
    <xf numFmtId="0" fontId="29" fillId="6" borderId="0" xfId="0" applyFont="1" applyFill="1" applyAlignment="1">
      <alignment horizontal="left"/>
    </xf>
    <xf numFmtId="0" fontId="11" fillId="0" borderId="1" xfId="0" applyFont="1" applyBorder="1" applyAlignment="1">
      <alignment horizontal="right"/>
    </xf>
    <xf numFmtId="0" fontId="11" fillId="0" borderId="12" xfId="0" applyFont="1" applyBorder="1" applyAlignment="1">
      <alignment horizontal="right"/>
    </xf>
    <xf numFmtId="0" fontId="11" fillId="0" borderId="2" xfId="0" applyFont="1" applyBorder="1" applyAlignment="1">
      <alignment horizontal="right"/>
    </xf>
    <xf numFmtId="0" fontId="40" fillId="6" borderId="0" xfId="0" applyFont="1" applyFill="1" applyAlignment="1">
      <alignment horizontal="center"/>
    </xf>
    <xf numFmtId="0" fontId="5" fillId="0" borderId="0" xfId="0" applyFont="1" applyAlignment="1">
      <alignment horizontal="center"/>
    </xf>
    <xf numFmtId="0" fontId="41" fillId="6" borderId="0" xfId="0" applyFont="1" applyFill="1" applyAlignment="1">
      <alignment horizontal="left"/>
    </xf>
    <xf numFmtId="0" fontId="9" fillId="6" borderId="0" xfId="0" applyFont="1" applyFill="1"/>
    <xf numFmtId="0" fontId="43" fillId="6" borderId="0" xfId="0" applyFont="1" applyFill="1"/>
    <xf numFmtId="9" fontId="39" fillId="6" borderId="0" xfId="1" applyFont="1" applyFill="1" applyAlignment="1">
      <alignment horizontal="left"/>
    </xf>
    <xf numFmtId="0" fontId="9" fillId="6" borderId="0" xfId="0" applyFont="1" applyFill="1" applyAlignment="1">
      <alignment horizontal="right"/>
    </xf>
    <xf numFmtId="9" fontId="43" fillId="6" borderId="8" xfId="1" applyFont="1" applyFill="1" applyBorder="1" applyAlignment="1">
      <alignment horizontal="right"/>
    </xf>
    <xf numFmtId="9" fontId="11" fillId="0" borderId="0" xfId="1" applyFont="1" applyAlignment="1">
      <alignment horizontal="left"/>
    </xf>
    <xf numFmtId="0" fontId="2" fillId="0" borderId="0" xfId="0" applyFont="1" applyProtection="1">
      <protection hidden="1"/>
    </xf>
    <xf numFmtId="0" fontId="0" fillId="0" borderId="0" xfId="0" applyProtection="1">
      <protection hidden="1"/>
    </xf>
    <xf numFmtId="0" fontId="3" fillId="0" borderId="0" xfId="0" applyFont="1" applyProtection="1">
      <protection hidden="1"/>
    </xf>
    <xf numFmtId="9" fontId="11" fillId="6" borderId="7" xfId="1" applyFont="1" applyFill="1" applyBorder="1" applyAlignment="1">
      <alignment horizontal="left"/>
    </xf>
    <xf numFmtId="9" fontId="11" fillId="6" borderId="9" xfId="1" applyFont="1" applyFill="1" applyBorder="1" applyAlignment="1">
      <alignment horizontal="left"/>
    </xf>
    <xf numFmtId="9" fontId="11" fillId="6" borderId="11" xfId="1" applyFont="1" applyFill="1" applyBorder="1" applyAlignment="1">
      <alignment horizontal="left"/>
    </xf>
    <xf numFmtId="0" fontId="39" fillId="6" borderId="0" xfId="0" applyFont="1" applyFill="1" applyAlignment="1">
      <alignment horizontal="center" vertical="center"/>
    </xf>
    <xf numFmtId="9" fontId="11" fillId="6" borderId="1" xfId="1" applyFont="1" applyFill="1" applyBorder="1" applyAlignment="1">
      <alignment horizontal="left"/>
    </xf>
    <xf numFmtId="9" fontId="11" fillId="6" borderId="12" xfId="1" applyFont="1" applyFill="1" applyBorder="1" applyAlignment="1">
      <alignment horizontal="left"/>
    </xf>
    <xf numFmtId="9" fontId="11" fillId="6" borderId="2" xfId="1" applyFont="1" applyFill="1" applyBorder="1" applyAlignment="1">
      <alignment horizontal="left"/>
    </xf>
    <xf numFmtId="0" fontId="26" fillId="6" borderId="0" xfId="0" applyFont="1" applyFill="1" applyAlignment="1">
      <alignment horizontal="left"/>
    </xf>
    <xf numFmtId="0" fontId="47" fillId="6" borderId="0" xfId="0" applyFont="1" applyFill="1"/>
    <xf numFmtId="9" fontId="11" fillId="0" borderId="8" xfId="1" applyFont="1" applyBorder="1" applyAlignment="1">
      <alignment horizontal="right"/>
    </xf>
    <xf numFmtId="0" fontId="37" fillId="6" borderId="0" xfId="0" applyFont="1" applyFill="1" applyAlignment="1">
      <alignment horizontal="right"/>
    </xf>
    <xf numFmtId="9" fontId="32" fillId="6" borderId="0" xfId="1" applyFont="1" applyFill="1" applyAlignment="1">
      <alignment horizontal="right"/>
    </xf>
    <xf numFmtId="0" fontId="48" fillId="6" borderId="0" xfId="0" applyFont="1" applyFill="1" applyAlignment="1">
      <alignment horizontal="center"/>
    </xf>
    <xf numFmtId="9" fontId="39" fillId="0" borderId="8" xfId="1" applyFont="1" applyBorder="1" applyAlignment="1">
      <alignment horizontal="right"/>
    </xf>
    <xf numFmtId="0" fontId="50" fillId="6" borderId="0" xfId="0" applyFont="1" applyFill="1" applyAlignment="1">
      <alignment horizontal="center"/>
    </xf>
    <xf numFmtId="0" fontId="50" fillId="6" borderId="0" xfId="0" applyFont="1" applyFill="1" applyAlignment="1">
      <alignment horizontal="right"/>
    </xf>
    <xf numFmtId="0" fontId="47" fillId="6" borderId="9" xfId="0" applyFont="1" applyFill="1" applyBorder="1" applyAlignment="1">
      <alignment horizontal="right"/>
    </xf>
    <xf numFmtId="0" fontId="51" fillId="6" borderId="0" xfId="0" applyFont="1" applyFill="1" applyAlignment="1">
      <alignment horizontal="right"/>
    </xf>
    <xf numFmtId="0" fontId="52" fillId="6" borderId="9" xfId="0" applyFont="1" applyFill="1" applyBorder="1" applyAlignment="1">
      <alignment horizontal="left" indent="1"/>
    </xf>
    <xf numFmtId="0" fontId="28" fillId="6" borderId="0" xfId="0" applyFont="1" applyFill="1" applyAlignment="1">
      <alignment horizontal="right" vertical="top"/>
    </xf>
    <xf numFmtId="9" fontId="2" fillId="0" borderId="0" xfId="0" applyNumberFormat="1" applyFont="1"/>
    <xf numFmtId="9" fontId="11" fillId="6" borderId="7" xfId="0" applyNumberFormat="1" applyFont="1" applyFill="1" applyBorder="1" applyAlignment="1">
      <alignment horizontal="center" vertical="center"/>
    </xf>
    <xf numFmtId="9" fontId="11" fillId="6" borderId="9" xfId="0" applyNumberFormat="1" applyFont="1" applyFill="1" applyBorder="1" applyAlignment="1">
      <alignment horizontal="center" vertical="center"/>
    </xf>
    <xf numFmtId="9" fontId="11" fillId="6" borderId="0" xfId="0" applyNumberFormat="1" applyFont="1" applyFill="1" applyAlignment="1">
      <alignment horizontal="center" vertical="center"/>
    </xf>
    <xf numFmtId="9" fontId="11" fillId="6" borderId="6" xfId="0" applyNumberFormat="1" applyFont="1" applyFill="1" applyBorder="1" applyAlignment="1">
      <alignment horizontal="center" vertical="center"/>
    </xf>
    <xf numFmtId="9" fontId="11" fillId="6" borderId="5" xfId="0" applyNumberFormat="1" applyFont="1" applyFill="1" applyBorder="1" applyAlignment="1">
      <alignment horizontal="center" vertical="center"/>
    </xf>
    <xf numFmtId="9" fontId="11" fillId="6" borderId="8" xfId="0" applyNumberFormat="1" applyFont="1" applyFill="1" applyBorder="1" applyAlignment="1">
      <alignment horizontal="center" vertical="center"/>
    </xf>
    <xf numFmtId="9" fontId="54" fillId="0" borderId="10" xfId="0" applyNumberFormat="1" applyFont="1" applyBorder="1" applyAlignment="1">
      <alignment horizontal="center" vertical="center"/>
    </xf>
    <xf numFmtId="9" fontId="54" fillId="0" borderId="3" xfId="0" applyNumberFormat="1" applyFont="1" applyBorder="1" applyAlignment="1">
      <alignment horizontal="center" vertical="center"/>
    </xf>
    <xf numFmtId="9" fontId="54" fillId="0" borderId="11" xfId="0" applyNumberFormat="1" applyFont="1" applyBorder="1" applyAlignment="1">
      <alignment horizontal="center" vertical="center"/>
    </xf>
    <xf numFmtId="164" fontId="55" fillId="0" borderId="0" xfId="0" applyNumberFormat="1" applyFont="1"/>
    <xf numFmtId="0" fontId="55" fillId="0" borderId="0" xfId="0" applyFont="1"/>
    <xf numFmtId="0" fontId="57" fillId="5" borderId="4" xfId="0" applyFont="1" applyFill="1" applyBorder="1" applyAlignment="1">
      <alignment horizontal="center"/>
    </xf>
    <xf numFmtId="0" fontId="57" fillId="5" borderId="4" xfId="0" applyFont="1" applyFill="1" applyBorder="1" applyAlignment="1">
      <alignment horizontal="center" vertical="center"/>
    </xf>
    <xf numFmtId="0" fontId="58" fillId="5" borderId="13" xfId="0" applyFont="1" applyFill="1" applyBorder="1" applyAlignment="1">
      <alignment horizontal="center" vertical="center"/>
    </xf>
    <xf numFmtId="0" fontId="58" fillId="5" borderId="4" xfId="0" applyFont="1" applyFill="1" applyBorder="1" applyAlignment="1">
      <alignment horizontal="center" vertical="center"/>
    </xf>
    <xf numFmtId="0" fontId="21" fillId="3" borderId="1" xfId="0" applyFont="1" applyFill="1" applyBorder="1" applyAlignment="1">
      <alignment horizontal="left" indent="27"/>
    </xf>
    <xf numFmtId="0" fontId="21" fillId="3" borderId="12" xfId="0" applyFont="1" applyFill="1" applyBorder="1" applyAlignment="1">
      <alignment horizontal="left" indent="27"/>
    </xf>
    <xf numFmtId="0" fontId="21" fillId="3" borderId="2" xfId="0" applyFont="1" applyFill="1" applyBorder="1" applyAlignment="1">
      <alignment horizontal="left" indent="27"/>
    </xf>
    <xf numFmtId="0" fontId="60" fillId="0" borderId="1" xfId="0" applyFont="1" applyBorder="1" applyAlignment="1">
      <alignment horizontal="center"/>
    </xf>
    <xf numFmtId="0" fontId="17" fillId="0" borderId="0" xfId="0" applyFont="1" applyAlignment="1">
      <alignment vertical="center"/>
    </xf>
    <xf numFmtId="0" fontId="21" fillId="3" borderId="0" xfId="0" applyFont="1" applyFill="1" applyAlignment="1">
      <alignment horizontal="left" indent="27"/>
    </xf>
    <xf numFmtId="0" fontId="0" fillId="6" borderId="7" xfId="0" applyFill="1" applyBorder="1"/>
    <xf numFmtId="0" fontId="61" fillId="9" borderId="22" xfId="0" applyFont="1" applyFill="1" applyBorder="1" applyAlignment="1">
      <alignment horizontal="left" indent="27"/>
    </xf>
    <xf numFmtId="0" fontId="23" fillId="4" borderId="0" xfId="0" applyFont="1" applyFill="1" applyAlignment="1">
      <alignment horizontal="left" indent="27"/>
    </xf>
    <xf numFmtId="0" fontId="23" fillId="4" borderId="22" xfId="0" applyFont="1" applyFill="1" applyBorder="1" applyAlignment="1">
      <alignment horizontal="left" indent="27"/>
    </xf>
    <xf numFmtId="0" fontId="18" fillId="10" borderId="12" xfId="0" applyFont="1" applyFill="1" applyBorder="1" applyAlignment="1">
      <alignment horizontal="center"/>
    </xf>
    <xf numFmtId="0" fontId="18" fillId="10" borderId="0" xfId="0" applyFont="1" applyFill="1" applyAlignment="1">
      <alignment horizontal="center"/>
    </xf>
    <xf numFmtId="0" fontId="18" fillId="10" borderId="9" xfId="0" applyFont="1" applyFill="1" applyBorder="1" applyAlignment="1">
      <alignment horizontal="center"/>
    </xf>
    <xf numFmtId="10" fontId="56" fillId="8" borderId="1" xfId="1" applyNumberFormat="1" applyFont="1" applyFill="1" applyBorder="1" applyAlignment="1">
      <alignment horizontal="center" vertical="center"/>
    </xf>
    <xf numFmtId="10" fontId="56" fillId="8" borderId="2" xfId="1" applyNumberFormat="1" applyFont="1" applyFill="1" applyBorder="1" applyAlignment="1">
      <alignment horizontal="center" vertical="center"/>
    </xf>
    <xf numFmtId="0" fontId="45" fillId="5" borderId="14" xfId="0" applyFont="1" applyFill="1" applyBorder="1" applyAlignment="1">
      <alignment horizontal="center" vertical="center"/>
    </xf>
    <xf numFmtId="0" fontId="45" fillId="5" borderId="15" xfId="0" applyFont="1" applyFill="1" applyBorder="1" applyAlignment="1">
      <alignment horizontal="center" vertical="center"/>
    </xf>
    <xf numFmtId="0" fontId="45" fillId="5" borderId="16" xfId="0" applyFont="1" applyFill="1" applyBorder="1" applyAlignment="1">
      <alignment horizontal="center" vertical="center"/>
    </xf>
    <xf numFmtId="0" fontId="45" fillId="5" borderId="17" xfId="0" applyFont="1" applyFill="1" applyBorder="1" applyAlignment="1">
      <alignment horizontal="center" vertical="center"/>
    </xf>
    <xf numFmtId="0" fontId="45" fillId="5" borderId="0" xfId="0" applyFont="1" applyFill="1" applyAlignment="1">
      <alignment horizontal="center" vertical="center"/>
    </xf>
    <xf numFmtId="0" fontId="45" fillId="5" borderId="18" xfId="0" applyFont="1" applyFill="1" applyBorder="1" applyAlignment="1">
      <alignment horizontal="center" vertical="center"/>
    </xf>
    <xf numFmtId="0" fontId="45" fillId="5" borderId="19" xfId="0" applyFont="1" applyFill="1" applyBorder="1" applyAlignment="1">
      <alignment horizontal="center" vertical="center"/>
    </xf>
    <xf numFmtId="0" fontId="45" fillId="5" borderId="20" xfId="0" applyFont="1" applyFill="1" applyBorder="1" applyAlignment="1">
      <alignment horizontal="center" vertical="center"/>
    </xf>
    <xf numFmtId="0" fontId="45" fillId="5" borderId="21" xfId="0" applyFont="1" applyFill="1" applyBorder="1" applyAlignment="1">
      <alignment horizontal="center" vertical="center"/>
    </xf>
    <xf numFmtId="0" fontId="44" fillId="5" borderId="0" xfId="0" applyFont="1" applyFill="1" applyAlignment="1">
      <alignment horizontal="center" vertical="center"/>
    </xf>
    <xf numFmtId="0" fontId="44" fillId="5" borderId="3" xfId="0" applyFont="1" applyFill="1" applyBorder="1" applyAlignment="1">
      <alignment horizontal="center" vertical="center"/>
    </xf>
    <xf numFmtId="0" fontId="59" fillId="0" borderId="9" xfId="0" applyFont="1" applyBorder="1" applyAlignment="1">
      <alignment horizontal="center" vertical="center"/>
    </xf>
    <xf numFmtId="0" fontId="59" fillId="0" borderId="11" xfId="0" applyFont="1" applyBorder="1" applyAlignment="1">
      <alignment horizontal="center" vertical="center"/>
    </xf>
    <xf numFmtId="10" fontId="27" fillId="7" borderId="1" xfId="1" applyNumberFormat="1" applyFont="1" applyFill="1" applyBorder="1" applyAlignment="1">
      <alignment horizontal="center" vertical="center"/>
    </xf>
    <xf numFmtId="10" fontId="27" fillId="7" borderId="2" xfId="1" applyNumberFormat="1" applyFont="1" applyFill="1" applyBorder="1" applyAlignment="1">
      <alignment horizontal="center" vertical="center"/>
    </xf>
    <xf numFmtId="0" fontId="3" fillId="0" borderId="0" xfId="0" applyFont="1"/>
  </cellXfs>
  <cellStyles count="2">
    <cellStyle name="Normal" xfId="0" builtinId="0"/>
    <cellStyle name="Porcentagem" xfId="1" builtinId="5"/>
  </cellStyles>
  <dxfs count="19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theme="3"/>
      </font>
      <fill>
        <patternFill>
          <bgColor theme="0"/>
        </patternFill>
      </fill>
    </dxf>
    <dxf>
      <font>
        <color rgb="FF9C0006"/>
      </font>
      <fill>
        <patternFill>
          <bgColor rgb="FFFFC7CE"/>
        </patternFill>
      </fill>
    </dxf>
    <dxf>
      <font>
        <color rgb="FF9C5700"/>
      </font>
      <fill>
        <patternFill>
          <bgColor rgb="FFFFEB9C"/>
        </patternFill>
      </fill>
    </dxf>
    <dxf>
      <font>
        <color rgb="FF9C0006"/>
      </font>
    </dxf>
    <dxf>
      <font>
        <color rgb="FF9C0006"/>
      </font>
    </dxf>
    <dxf>
      <font>
        <color rgb="FF9C5700"/>
      </font>
      <fill>
        <patternFill>
          <bgColor rgb="FFFFEB9C"/>
        </patternFill>
      </fill>
    </dxf>
    <dxf>
      <font>
        <color rgb="FF9C0006"/>
      </font>
      <fill>
        <patternFill>
          <bgColor rgb="FFFFC7CE"/>
        </patternFill>
      </fill>
    </dxf>
    <dxf>
      <font>
        <color theme="3"/>
      </font>
      <fill>
        <patternFill>
          <bgColor theme="0"/>
        </patternFill>
      </fill>
    </dxf>
    <dxf>
      <font>
        <color rgb="FF9C0006"/>
      </font>
      <fill>
        <patternFill>
          <bgColor rgb="FFFFC7CE"/>
        </patternFill>
      </fill>
    </dxf>
    <dxf>
      <font>
        <color rgb="FF9C5700"/>
      </font>
      <fill>
        <patternFill>
          <bgColor rgb="FFFFEB9C"/>
        </patternFill>
      </fill>
    </dxf>
    <dxf>
      <font>
        <color rgb="FF9C0006"/>
      </font>
    </dxf>
    <dxf>
      <font>
        <color theme="3"/>
      </font>
      <fill>
        <patternFill>
          <bgColor theme="0"/>
        </patternFill>
      </fill>
    </dxf>
    <dxf>
      <font>
        <color rgb="FF9C0006"/>
      </font>
    </dxf>
    <dxf>
      <font>
        <color rgb="FF9C5700"/>
      </font>
      <fill>
        <patternFill>
          <bgColor rgb="FFFFEB9C"/>
        </patternFill>
      </fill>
    </dxf>
    <dxf>
      <font>
        <color rgb="FF9C0006"/>
      </font>
      <fill>
        <patternFill>
          <bgColor rgb="FFFFC7CE"/>
        </patternFill>
      </fill>
    </dxf>
    <dxf>
      <font>
        <color theme="3"/>
      </font>
      <fill>
        <patternFill>
          <bgColor theme="0"/>
        </patternFill>
      </fill>
    </dxf>
    <dxf>
      <font>
        <color rgb="FF9C0006"/>
      </font>
    </dxf>
    <dxf>
      <font>
        <color rgb="FF9C5700"/>
      </font>
      <fill>
        <patternFill>
          <bgColor rgb="FFFFEB9C"/>
        </patternFill>
      </fill>
    </dxf>
    <dxf>
      <font>
        <color rgb="FF9C0006"/>
      </font>
      <fill>
        <patternFill>
          <bgColor rgb="FFFFC7CE"/>
        </patternFill>
      </fill>
    </dxf>
    <dxf>
      <font>
        <color theme="3"/>
      </font>
      <fill>
        <patternFill>
          <bgColor theme="0"/>
        </patternFill>
      </fill>
    </dxf>
    <dxf>
      <font>
        <color theme="3"/>
      </font>
      <fill>
        <patternFill>
          <bgColor theme="0"/>
        </patternFill>
      </fill>
    </dxf>
    <dxf>
      <font>
        <color rgb="FF9C0006"/>
      </fon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0"/>
        </patternFill>
      </fill>
    </dxf>
    <dxf>
      <font>
        <color rgb="FF9C0006"/>
      </font>
      <fill>
        <patternFill>
          <bgColor rgb="FFFFC7CE"/>
        </patternFill>
      </fill>
    </dxf>
    <dxf>
      <font>
        <color rgb="FF9C0006"/>
      </font>
    </dxf>
    <dxf>
      <font>
        <color theme="3"/>
      </font>
      <fill>
        <patternFill>
          <bgColor theme="0"/>
        </patternFill>
      </fill>
    </dxf>
    <dxf>
      <font>
        <color rgb="FF9C0006"/>
      </font>
      <fill>
        <patternFill>
          <bgColor rgb="FFFFC7CE"/>
        </patternFill>
      </fill>
    </dxf>
    <dxf>
      <font>
        <color rgb="FF9C5700"/>
      </font>
      <fill>
        <patternFill>
          <bgColor rgb="FFFFEB9C"/>
        </patternFill>
      </fill>
    </dxf>
    <dxf>
      <font>
        <color rgb="FF9C0006"/>
      </font>
    </dxf>
    <dxf>
      <font>
        <color rgb="FF9C0006"/>
      </font>
      <fill>
        <patternFill>
          <bgColor rgb="FFFFC7CE"/>
        </patternFill>
      </fill>
    </dxf>
    <dxf>
      <font>
        <color theme="3"/>
      </font>
      <fill>
        <patternFill>
          <bgColor theme="0"/>
        </patternFill>
      </fill>
    </dxf>
    <dxf>
      <font>
        <color rgb="FF9C5700"/>
      </font>
      <fill>
        <patternFill>
          <bgColor rgb="FFFFEB9C"/>
        </patternFill>
      </fill>
    </dxf>
    <dxf>
      <font>
        <color rgb="FF9C0006"/>
      </font>
    </dxf>
    <dxf>
      <font>
        <color rgb="FF9C5700"/>
      </font>
      <fill>
        <patternFill>
          <bgColor rgb="FFFFEB9C"/>
        </patternFill>
      </fill>
    </dxf>
    <dxf>
      <font>
        <color theme="3"/>
      </font>
      <fill>
        <patternFill>
          <bgColor theme="0"/>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5700"/>
      </font>
      <fill>
        <patternFill>
          <bgColor rgb="FFFFEB9C"/>
        </patternFill>
      </fill>
    </dxf>
    <dxf>
      <font>
        <color theme="3"/>
      </font>
      <fill>
        <patternFill>
          <bgColor theme="0"/>
        </patternFill>
      </fill>
    </dxf>
    <dxf>
      <font>
        <color rgb="FF9C0006"/>
      </font>
      <fill>
        <patternFill>
          <bgColor rgb="FFFFC7CE"/>
        </patternFill>
      </fill>
    </dxf>
    <dxf>
      <font>
        <color rgb="FF9C0006"/>
      </font>
    </dxf>
    <dxf>
      <font>
        <color rgb="FF9C0006"/>
      </font>
    </dxf>
    <dxf>
      <font>
        <color rgb="FF9C5700"/>
      </font>
      <fill>
        <patternFill>
          <bgColor rgb="FFFFEB9C"/>
        </patternFill>
      </fill>
    </dxf>
    <dxf>
      <font>
        <color rgb="FF9C0006"/>
      </font>
      <fill>
        <patternFill>
          <bgColor rgb="FFFFC7CE"/>
        </patternFill>
      </fill>
    </dxf>
    <dxf>
      <font>
        <color theme="3"/>
      </font>
      <fill>
        <patternFill>
          <bgColor theme="0"/>
        </patternFill>
      </fill>
    </dxf>
    <dxf>
      <font>
        <color theme="3"/>
      </font>
      <fill>
        <patternFill>
          <bgColor theme="0"/>
        </patternFill>
      </fill>
    </dxf>
    <dxf>
      <font>
        <color rgb="FF9C0006"/>
      </font>
      <fill>
        <patternFill>
          <bgColor rgb="FFFFC7CE"/>
        </patternFill>
      </fill>
    </dxf>
    <dxf>
      <font>
        <color rgb="FF9C5700"/>
      </font>
      <fill>
        <patternFill>
          <bgColor rgb="FFFFEB9C"/>
        </patternFill>
      </fill>
    </dxf>
    <dxf>
      <font>
        <color rgb="FF9C0006"/>
      </font>
    </dxf>
    <dxf>
      <font>
        <color theme="3"/>
      </font>
      <fill>
        <patternFill>
          <bgColor theme="0"/>
        </patternFill>
      </fill>
    </dxf>
    <dxf>
      <font>
        <color rgb="FF9C0006"/>
      </font>
    </dxf>
    <dxf>
      <font>
        <color rgb="FF9C5700"/>
      </font>
      <fill>
        <patternFill>
          <bgColor rgb="FFFFEB9C"/>
        </patternFill>
      </fill>
    </dxf>
    <dxf>
      <font>
        <color rgb="FF9C0006"/>
      </font>
      <fill>
        <patternFill>
          <bgColor rgb="FFFFC7CE"/>
        </patternFill>
      </fill>
    </dxf>
    <dxf>
      <font>
        <color theme="3"/>
      </font>
      <fill>
        <patternFill>
          <bgColor theme="0"/>
        </patternFill>
      </fill>
    </dxf>
    <dxf>
      <font>
        <color rgb="FF9C0006"/>
      </font>
      <fill>
        <patternFill>
          <bgColor rgb="FFFFC7CE"/>
        </patternFill>
      </fill>
    </dxf>
    <dxf>
      <font>
        <color rgb="FF9C5700"/>
      </font>
      <fill>
        <patternFill>
          <bgColor rgb="FFFFEB9C"/>
        </patternFill>
      </fill>
    </dxf>
    <dxf>
      <font>
        <color rgb="FF9C0006"/>
      </font>
    </dxf>
    <dxf>
      <font>
        <color rgb="FF9C0006"/>
      </font>
    </dxf>
    <dxf>
      <font>
        <color rgb="FF9C5700"/>
      </font>
      <fill>
        <patternFill>
          <bgColor rgb="FFFFEB9C"/>
        </patternFill>
      </fill>
    </dxf>
    <dxf>
      <font>
        <color rgb="FF9C0006"/>
      </font>
      <fill>
        <patternFill>
          <bgColor rgb="FFFFC7CE"/>
        </patternFill>
      </fill>
    </dxf>
    <dxf>
      <font>
        <color theme="3"/>
      </font>
      <fill>
        <patternFill>
          <bgColor theme="0"/>
        </patternFill>
      </fill>
    </dxf>
    <dxf>
      <font>
        <color rgb="FF9C0006"/>
      </font>
    </dxf>
    <dxf>
      <font>
        <color rgb="FF9C5700"/>
      </font>
      <fill>
        <patternFill>
          <bgColor rgb="FFFFEB9C"/>
        </patternFill>
      </fill>
    </dxf>
    <dxf>
      <font>
        <color rgb="FF9C0006"/>
      </font>
      <fill>
        <patternFill>
          <bgColor rgb="FFFFC7CE"/>
        </patternFill>
      </fill>
    </dxf>
    <dxf>
      <font>
        <color theme="3"/>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s>
  <tableStyles count="0" defaultTableStyle="TableStyleMedium2" defaultPivotStyle="PivotStyleLight16"/>
  <colors>
    <mruColors>
      <color rgb="FF00FF00"/>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0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0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0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03.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04.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05.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06.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0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08.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1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1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1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1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1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15.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16.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7.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8.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9.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0.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21.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22.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23.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4.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5.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9.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3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31.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32.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33.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4.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5.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6.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7.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8.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9.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0.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41.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42.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43.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44.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45.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46.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47.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48.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49.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50.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51.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52.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53.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54.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55.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6.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57.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58.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59.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0.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61.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62.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63.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64.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65.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66.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67.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68.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69.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70.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71.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72.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73.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74.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75.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76.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77.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78.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79.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0.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81.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82.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83.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84.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85.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86.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87.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88.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89.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90.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91.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92.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93.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94.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95.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96.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97.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98.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99.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00.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201.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202.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203.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204.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205.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206.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207.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208.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209.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210.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211.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212.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213.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214.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215.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216.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217.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218.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219.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0.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221.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222.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223.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224.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25.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26.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27.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28.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29.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30.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31.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32.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33.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34.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35.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36.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37.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38.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39.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0.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41.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42.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43.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44.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45.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46.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47.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48.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49.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50.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51.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52.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53.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54.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55.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56.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57.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58.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59.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0.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61.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62.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63.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64.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65.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66.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67.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68.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69.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70.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71.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72.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73.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74.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75.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76.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77.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78.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79.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0.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81.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82.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83.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84.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85.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86.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87.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88.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89.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90.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91.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92.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93.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94.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95.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96.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97.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98.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99.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00.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301.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302.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303.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304.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305.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306.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307.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308.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309.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310.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311.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312.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313.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314.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315.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316.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317.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318.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319.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0.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321.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322.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323.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324.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325.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326.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327.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328.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29.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30.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31.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32.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33.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34.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35.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36.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37.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38.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39.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0.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41.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42.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43.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44.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45.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46.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47.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48.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49.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0.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51.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52.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53.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54.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55.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56.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57.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58.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59.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0.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61.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62.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11 - </a:t>
            </a:r>
            <a:r>
              <a:rPr lang="pt-BR" sz="1200" b="0" i="0" u="none" strike="noStrike" cap="none" baseline="0">
                <a:effectLst/>
              </a:rPr>
              <a:t>O PGMAT tem contribuído para o desenvolvimento local e regional ?</a:t>
            </a:r>
            <a:r>
              <a:rPr lang="pt-BR" sz="1200"/>
              <a:t> </a:t>
            </a:r>
          </a:p>
        </c:rich>
      </c:tx>
      <c:layout>
        <c:manualLayout>
          <c:xMode val="edge"/>
          <c:yMode val="edge"/>
          <c:x val="0.15187578163682244"/>
          <c:y val="2.3293902238561523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INST.'!$D$133:$D$136</c:f>
              <c:strCache>
                <c:ptCount val="4"/>
                <c:pt idx="0">
                  <c:v>MUITO BOM / ÓTIMO</c:v>
                </c:pt>
                <c:pt idx="1">
                  <c:v>BOM</c:v>
                </c:pt>
                <c:pt idx="2">
                  <c:v>RUIM / REGULAR</c:v>
                </c:pt>
                <c:pt idx="3">
                  <c:v>NÃO SE APLICA / NÃO SEI</c:v>
                </c:pt>
              </c:strCache>
            </c:strRef>
          </c:cat>
          <c:val>
            <c:numRef>
              <c:f>'Dashboard-1-AVALIAÇÃO INST.'!$F$133:$F$136</c:f>
              <c:numCache>
                <c:formatCode>0%</c:formatCode>
                <c:ptCount val="4"/>
                <c:pt idx="0">
                  <c:v>0.95555555555555549</c:v>
                </c:pt>
                <c:pt idx="1">
                  <c:v>2.2222222222222223E-2</c:v>
                </c:pt>
                <c:pt idx="2">
                  <c:v>0</c:v>
                </c:pt>
                <c:pt idx="3">
                  <c:v>2.2222222222222223E-2</c:v>
                </c:pt>
              </c:numCache>
            </c:numRef>
          </c:val>
          <c:extLst>
            <c:ext xmlns:c16="http://schemas.microsoft.com/office/drawing/2014/chart" uri="{C3380CC4-5D6E-409C-BE32-E72D297353CC}">
              <c16:uniqueId val="{00000000-D7E5-4FF8-B233-D6B571066A55}"/>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E5-4FF8-B233-D6B571066A55}"/>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E5-4FF8-B233-D6B571066A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INST.'!$D$133:$D$136</c:f>
              <c:strCache>
                <c:ptCount val="4"/>
                <c:pt idx="0">
                  <c:v>MUITO BOM / ÓTIMO</c:v>
                </c:pt>
                <c:pt idx="1">
                  <c:v>BOM</c:v>
                </c:pt>
                <c:pt idx="2">
                  <c:v>RUIM / REGULAR</c:v>
                </c:pt>
                <c:pt idx="3">
                  <c:v>NÃO SE APLICA / NÃO SEI</c:v>
                </c:pt>
              </c:strCache>
            </c:strRef>
          </c:cat>
          <c:val>
            <c:numRef>
              <c:f>'Dashboard-1-AVALIAÇÃO INST.'!$E$133:$E$136</c:f>
              <c:numCache>
                <c:formatCode>0%</c:formatCode>
                <c:ptCount val="4"/>
                <c:pt idx="0">
                  <c:v>0.7931034482758621</c:v>
                </c:pt>
                <c:pt idx="1">
                  <c:v>8.6206896551724144E-2</c:v>
                </c:pt>
                <c:pt idx="2">
                  <c:v>1.7241379310344827E-2</c:v>
                </c:pt>
                <c:pt idx="3">
                  <c:v>0.10344827586206896</c:v>
                </c:pt>
              </c:numCache>
            </c:numRef>
          </c:val>
          <c:extLst>
            <c:ext xmlns:c16="http://schemas.microsoft.com/office/drawing/2014/chart" uri="{C3380CC4-5D6E-409C-BE32-E72D297353CC}">
              <c16:uniqueId val="{00000003-D7E5-4FF8-B233-D6B571066A55}"/>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12</a:t>
            </a:r>
            <a:r>
              <a:rPr lang="pt-BR" baseline="0"/>
              <a:t> - A atuação do Colegiado do PGMAT tem sido eficiente e transparente ?</a:t>
            </a:r>
            <a:endParaRPr lang="pt-B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dLbl>
              <c:idx val="0"/>
              <c:layout>
                <c:manualLayout>
                  <c:x val="1.50111942308383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E-824F-97F5-067A204164C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INST.'!$T$153:$T$156</c:f>
              <c:strCache>
                <c:ptCount val="4"/>
                <c:pt idx="0">
                  <c:v>MUITO BOM / ÓTIMO</c:v>
                </c:pt>
                <c:pt idx="1">
                  <c:v>BOM</c:v>
                </c:pt>
                <c:pt idx="2">
                  <c:v>RUIM / REGULAR</c:v>
                </c:pt>
                <c:pt idx="3">
                  <c:v>NÃO SE APLICA / NÃO SEI</c:v>
                </c:pt>
              </c:strCache>
            </c:strRef>
          </c:cat>
          <c:val>
            <c:numRef>
              <c:f>'Dashboard-1-AVALIAÇÃO INST.'!$U$153:$U$156</c:f>
              <c:numCache>
                <c:formatCode>0%</c:formatCode>
                <c:ptCount val="4"/>
                <c:pt idx="0">
                  <c:v>0.74757281553398058</c:v>
                </c:pt>
                <c:pt idx="1">
                  <c:v>7.7669902912621352E-2</c:v>
                </c:pt>
                <c:pt idx="2">
                  <c:v>4.8543689320388349E-2</c:v>
                </c:pt>
                <c:pt idx="3">
                  <c:v>0.12621359223300971</c:v>
                </c:pt>
              </c:numCache>
            </c:numRef>
          </c:val>
          <c:extLst>
            <c:ext xmlns:c16="http://schemas.microsoft.com/office/drawing/2014/chart" uri="{C3380CC4-5D6E-409C-BE32-E72D297353CC}">
              <c16:uniqueId val="{00000000-C7B9-4D38-B7DC-16F339978D8B}"/>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'D6'!$C$28:$C$31</c:f>
              <c:numCache>
                <c:formatCode>0%</c:formatCode>
                <c:ptCount val="4"/>
                <c:pt idx="0">
                  <c:v>1</c:v>
                </c:pt>
                <c:pt idx="1">
                  <c:v>0</c:v>
                </c:pt>
                <c:pt idx="2">
                  <c:v>0</c:v>
                </c:pt>
                <c:pt idx="3">
                  <c:v>0</c:v>
                </c:pt>
              </c:numCache>
            </c:numRef>
          </c:val>
          <c:extLst>
            <c:ext xmlns:c16="http://schemas.microsoft.com/office/drawing/2014/chart" uri="{C3380CC4-5D6E-409C-BE32-E72D297353CC}">
              <c16:uniqueId val="{00000000-8F09-4F07-8263-1262EFB33A47}"/>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'D7'!$C$28:$C$31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AC7B-4346-8616-9930D6C058E6}"/>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'D11'!$C$28:$C$31</c:f>
              <c:numCache>
                <c:formatCode>0%</c:formatCode>
                <c:ptCount val="4"/>
                <c:pt idx="0">
                  <c:v>1</c:v>
                </c:pt>
                <c:pt idx="1">
                  <c:v>0</c:v>
                </c:pt>
                <c:pt idx="2">
                  <c:v>0</c:v>
                </c:pt>
                <c:pt idx="3">
                  <c:v>0</c:v>
                </c:pt>
              </c:numCache>
            </c:numRef>
          </c:val>
          <c:extLst>
            <c:ext xmlns:c16="http://schemas.microsoft.com/office/drawing/2014/chart" uri="{C3380CC4-5D6E-409C-BE32-E72D297353CC}">
              <c16:uniqueId val="{00000000-E89D-45D8-9393-FA84AEF69C11}"/>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'D4'!$D$28:$D$31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D8E1-437D-83F9-C0E470E40003}"/>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'D8'!$D$28:$D$31</c:f>
              <c:numCache>
                <c:formatCode>0%</c:formatCode>
                <c:ptCount val="4"/>
                <c:pt idx="0">
                  <c:v>1</c:v>
                </c:pt>
                <c:pt idx="1">
                  <c:v>0</c:v>
                </c:pt>
                <c:pt idx="2">
                  <c:v>0</c:v>
                </c:pt>
                <c:pt idx="3">
                  <c:v>0</c:v>
                </c:pt>
              </c:numCache>
            </c:numRef>
          </c:val>
          <c:extLst>
            <c:ext xmlns:c16="http://schemas.microsoft.com/office/drawing/2014/chart" uri="{C3380CC4-5D6E-409C-BE32-E72D297353CC}">
              <c16:uniqueId val="{00000000-C75E-463E-8A1C-722484EE08F4}"/>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'D9'!$D$28:$D$31</c:f>
              <c:numCache>
                <c:formatCode>0%</c:formatCode>
                <c:ptCount val="4"/>
                <c:pt idx="0">
                  <c:v>0.75</c:v>
                </c:pt>
                <c:pt idx="1">
                  <c:v>0.125</c:v>
                </c:pt>
                <c:pt idx="2">
                  <c:v>0</c:v>
                </c:pt>
                <c:pt idx="3">
                  <c:v>0.125</c:v>
                </c:pt>
              </c:numCache>
            </c:numRef>
          </c:val>
          <c:extLst>
            <c:ext xmlns:c16="http://schemas.microsoft.com/office/drawing/2014/chart" uri="{C3380CC4-5D6E-409C-BE32-E72D297353CC}">
              <c16:uniqueId val="{00000000-FEC3-462C-BD2D-23D14051BDB5}"/>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'D10'!$D$28:$D$31</c:f>
              <c:numCache>
                <c:formatCode>0%</c:formatCode>
                <c:ptCount val="4"/>
                <c:pt idx="0">
                  <c:v>0.83333333333333337</c:v>
                </c:pt>
                <c:pt idx="1">
                  <c:v>0</c:v>
                </c:pt>
                <c:pt idx="2">
                  <c:v>0</c:v>
                </c:pt>
                <c:pt idx="3">
                  <c:v>0.16666666666666666</c:v>
                </c:pt>
              </c:numCache>
            </c:numRef>
          </c:val>
          <c:extLst>
            <c:ext xmlns:c16="http://schemas.microsoft.com/office/drawing/2014/chart" uri="{C3380CC4-5D6E-409C-BE32-E72D297353CC}">
              <c16:uniqueId val="{00000000-99E6-4B47-9D6B-7EE76B16DD76}"/>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'D12'!$D$28:$D$31</c:f>
              <c:numCache>
                <c:formatCode>0%</c:formatCode>
                <c:ptCount val="4"/>
                <c:pt idx="0">
                  <c:v>1</c:v>
                </c:pt>
                <c:pt idx="1">
                  <c:v>0</c:v>
                </c:pt>
                <c:pt idx="2">
                  <c:v>0</c:v>
                </c:pt>
                <c:pt idx="3">
                  <c:v>0</c:v>
                </c:pt>
              </c:numCache>
            </c:numRef>
          </c:val>
          <c:extLst>
            <c:ext xmlns:c16="http://schemas.microsoft.com/office/drawing/2014/chart" uri="{C3380CC4-5D6E-409C-BE32-E72D297353CC}">
              <c16:uniqueId val="{00000000-8692-46FE-8E37-63D794F4354F}"/>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'D13'!$D$28:$D$31</c:f>
              <c:numCache>
                <c:formatCode>0%</c:formatCode>
                <c:ptCount val="4"/>
                <c:pt idx="0">
                  <c:v>0.8666666666666667</c:v>
                </c:pt>
                <c:pt idx="1">
                  <c:v>6.6666666666666666E-2</c:v>
                </c:pt>
                <c:pt idx="2">
                  <c:v>0</c:v>
                </c:pt>
                <c:pt idx="3">
                  <c:v>6.6666666666666666E-2</c:v>
                </c:pt>
              </c:numCache>
            </c:numRef>
          </c:val>
          <c:extLst>
            <c:ext xmlns:c16="http://schemas.microsoft.com/office/drawing/2014/chart" uri="{C3380CC4-5D6E-409C-BE32-E72D297353CC}">
              <c16:uniqueId val="{00000000-0420-4326-A1F3-4FD53B249191}"/>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'D3'!$D$28:$D$31</c:f>
              <c:numCache>
                <c:formatCode>0%</c:formatCode>
                <c:ptCount val="4"/>
                <c:pt idx="0">
                  <c:v>0.6</c:v>
                </c:pt>
                <c:pt idx="1">
                  <c:v>0.2</c:v>
                </c:pt>
                <c:pt idx="2">
                  <c:v>0.2</c:v>
                </c:pt>
                <c:pt idx="3">
                  <c:v>0</c:v>
                </c:pt>
              </c:numCache>
            </c:numRef>
          </c:val>
          <c:extLst>
            <c:ext xmlns:c16="http://schemas.microsoft.com/office/drawing/2014/chart" uri="{C3380CC4-5D6E-409C-BE32-E72D297353CC}">
              <c16:uniqueId val="{00000000-4F91-4B52-AB60-C9EED9CA76F5}"/>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13 - </a:t>
            </a:r>
            <a:r>
              <a:rPr lang="pt-BR" sz="1200" b="0" i="0" u="none" strike="noStrike" cap="none" baseline="0">
                <a:effectLst/>
              </a:rPr>
              <a:t>A atuação da Coordenação do PGMAT tem sido eficiente e transparente ?</a:t>
            </a:r>
            <a:endParaRPr lang="pt-BR" sz="1200"/>
          </a:p>
        </c:rich>
      </c:tx>
      <c:layout>
        <c:manualLayout>
          <c:xMode val="edge"/>
          <c:yMode val="edge"/>
          <c:x val="0.17123025880083412"/>
          <c:y val="2.5072603270717402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INST.'!$D$174:$D$177</c:f>
              <c:strCache>
                <c:ptCount val="4"/>
                <c:pt idx="0">
                  <c:v>MUITO BOM / ÓTIMO</c:v>
                </c:pt>
                <c:pt idx="1">
                  <c:v>BOM</c:v>
                </c:pt>
                <c:pt idx="2">
                  <c:v>RUIM / REGULAR</c:v>
                </c:pt>
                <c:pt idx="3">
                  <c:v>NÃO SE APLICA / NÃO SEI</c:v>
                </c:pt>
              </c:strCache>
            </c:strRef>
          </c:cat>
          <c:val>
            <c:numRef>
              <c:f>'Dashboard-1-AVALIAÇÃO INST.'!$F$174:$F$177</c:f>
              <c:numCache>
                <c:formatCode>0%</c:formatCode>
                <c:ptCount val="4"/>
                <c:pt idx="0">
                  <c:v>0.84444444444444444</c:v>
                </c:pt>
                <c:pt idx="1">
                  <c:v>8.8888888888888892E-2</c:v>
                </c:pt>
                <c:pt idx="2">
                  <c:v>0</c:v>
                </c:pt>
                <c:pt idx="3">
                  <c:v>6.6666666666666666E-2</c:v>
                </c:pt>
              </c:numCache>
            </c:numRef>
          </c:val>
          <c:extLst>
            <c:ext xmlns:c16="http://schemas.microsoft.com/office/drawing/2014/chart" uri="{C3380CC4-5D6E-409C-BE32-E72D297353CC}">
              <c16:uniqueId val="{00000000-D603-4379-88A2-4E08D33E5310}"/>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3-4379-88A2-4E08D33E5310}"/>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3-4379-88A2-4E08D33E5310}"/>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03-4379-88A2-4E08D33E5310}"/>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03-4379-88A2-4E08D33E531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INST.'!$D$174:$D$177</c:f>
              <c:strCache>
                <c:ptCount val="4"/>
                <c:pt idx="0">
                  <c:v>MUITO BOM / ÓTIMO</c:v>
                </c:pt>
                <c:pt idx="1">
                  <c:v>BOM</c:v>
                </c:pt>
                <c:pt idx="2">
                  <c:v>RUIM / REGULAR</c:v>
                </c:pt>
                <c:pt idx="3">
                  <c:v>NÃO SE APLICA / NÃO SEI</c:v>
                </c:pt>
              </c:strCache>
            </c:strRef>
          </c:cat>
          <c:val>
            <c:numRef>
              <c:f>'Dashboard-1-AVALIAÇÃO INST.'!$E$174:$E$177</c:f>
              <c:numCache>
                <c:formatCode>0%</c:formatCode>
                <c:ptCount val="4"/>
                <c:pt idx="0">
                  <c:v>0.81034482758620696</c:v>
                </c:pt>
                <c:pt idx="1">
                  <c:v>5.1724137931034482E-2</c:v>
                </c:pt>
                <c:pt idx="2">
                  <c:v>5.1724137931034482E-2</c:v>
                </c:pt>
                <c:pt idx="3">
                  <c:v>8.6206896551724144E-2</c:v>
                </c:pt>
              </c:numCache>
            </c:numRef>
          </c:val>
          <c:extLst>
            <c:ext xmlns:c16="http://schemas.microsoft.com/office/drawing/2014/chart" uri="{C3380CC4-5D6E-409C-BE32-E72D297353CC}">
              <c16:uniqueId val="{00000003-D603-4379-88A2-4E08D33E5310}"/>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'D5'!$D$28:$D$31</c:f>
              <c:numCache>
                <c:formatCode>0%</c:formatCode>
                <c:ptCount val="4"/>
                <c:pt idx="0">
                  <c:v>1</c:v>
                </c:pt>
                <c:pt idx="1">
                  <c:v>0</c:v>
                </c:pt>
                <c:pt idx="2">
                  <c:v>0</c:v>
                </c:pt>
                <c:pt idx="3">
                  <c:v>0</c:v>
                </c:pt>
              </c:numCache>
            </c:numRef>
          </c:val>
          <c:extLst>
            <c:ext xmlns:c16="http://schemas.microsoft.com/office/drawing/2014/chart" uri="{C3380CC4-5D6E-409C-BE32-E72D297353CC}">
              <c16:uniqueId val="{00000000-C9C5-490E-BBC7-DAD7E9FA8E09}"/>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'D6'!$D$28:$D$31</c:f>
              <c:numCache>
                <c:formatCode>0%</c:formatCode>
                <c:ptCount val="4"/>
                <c:pt idx="0">
                  <c:v>1</c:v>
                </c:pt>
                <c:pt idx="1">
                  <c:v>0</c:v>
                </c:pt>
                <c:pt idx="2">
                  <c:v>0</c:v>
                </c:pt>
                <c:pt idx="3">
                  <c:v>0</c:v>
                </c:pt>
              </c:numCache>
            </c:numRef>
          </c:val>
          <c:extLst>
            <c:ext xmlns:c16="http://schemas.microsoft.com/office/drawing/2014/chart" uri="{C3380CC4-5D6E-409C-BE32-E72D297353CC}">
              <c16:uniqueId val="{00000000-D515-400C-A414-760B92569ABB}"/>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'D7'!$D$28:$D$31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6835-43F7-A54E-F296205031FA}"/>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'D11'!$D$28:$D$31</c:f>
              <c:numCache>
                <c:formatCode>0%</c:formatCode>
                <c:ptCount val="4"/>
                <c:pt idx="0">
                  <c:v>1</c:v>
                </c:pt>
                <c:pt idx="1">
                  <c:v>0</c:v>
                </c:pt>
                <c:pt idx="2">
                  <c:v>0</c:v>
                </c:pt>
                <c:pt idx="3">
                  <c:v>0</c:v>
                </c:pt>
              </c:numCache>
            </c:numRef>
          </c:val>
          <c:extLst>
            <c:ext xmlns:c16="http://schemas.microsoft.com/office/drawing/2014/chart" uri="{C3380CC4-5D6E-409C-BE32-E72D297353CC}">
              <c16:uniqueId val="{00000000-D651-4342-8EE6-50DDB59E8B76}"/>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'D4'!$E$28:$E$31</c:f>
              <c:numCache>
                <c:formatCode>0%</c:formatCode>
                <c:ptCount val="4"/>
                <c:pt idx="0">
                  <c:v>1</c:v>
                </c:pt>
                <c:pt idx="1">
                  <c:v>0</c:v>
                </c:pt>
                <c:pt idx="2">
                  <c:v>0</c:v>
                </c:pt>
                <c:pt idx="3">
                  <c:v>0</c:v>
                </c:pt>
              </c:numCache>
            </c:numRef>
          </c:val>
          <c:extLst>
            <c:ext xmlns:c16="http://schemas.microsoft.com/office/drawing/2014/chart" uri="{C3380CC4-5D6E-409C-BE32-E72D297353CC}">
              <c16:uniqueId val="{00000000-3CAA-4B70-9241-F52B4A68659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'D8'!$E$28:$E$31</c:f>
              <c:numCache>
                <c:formatCode>0%</c:formatCode>
                <c:ptCount val="4"/>
                <c:pt idx="0">
                  <c:v>1</c:v>
                </c:pt>
                <c:pt idx="1">
                  <c:v>0</c:v>
                </c:pt>
                <c:pt idx="2">
                  <c:v>0</c:v>
                </c:pt>
                <c:pt idx="3">
                  <c:v>0</c:v>
                </c:pt>
              </c:numCache>
            </c:numRef>
          </c:val>
          <c:extLst>
            <c:ext xmlns:c16="http://schemas.microsoft.com/office/drawing/2014/chart" uri="{C3380CC4-5D6E-409C-BE32-E72D297353CC}">
              <c16:uniqueId val="{00000000-14E7-4CCA-9267-10F48AA476F3}"/>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'D9'!$E$28:$E$31</c:f>
              <c:numCache>
                <c:formatCode>0%</c:formatCode>
                <c:ptCount val="4"/>
                <c:pt idx="0">
                  <c:v>0.75</c:v>
                </c:pt>
                <c:pt idx="1">
                  <c:v>0</c:v>
                </c:pt>
                <c:pt idx="2">
                  <c:v>0.125</c:v>
                </c:pt>
                <c:pt idx="3">
                  <c:v>0.125</c:v>
                </c:pt>
              </c:numCache>
            </c:numRef>
          </c:val>
          <c:extLst>
            <c:ext xmlns:c16="http://schemas.microsoft.com/office/drawing/2014/chart" uri="{C3380CC4-5D6E-409C-BE32-E72D297353CC}">
              <c16:uniqueId val="{00000000-98AB-4225-AFF5-7C4CD9E86A08}"/>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'D10'!$E$28:$E$31</c:f>
              <c:numCache>
                <c:formatCode>0%</c:formatCode>
                <c:ptCount val="4"/>
                <c:pt idx="0">
                  <c:v>0.83333333333333326</c:v>
                </c:pt>
                <c:pt idx="1">
                  <c:v>0</c:v>
                </c:pt>
                <c:pt idx="2">
                  <c:v>0</c:v>
                </c:pt>
                <c:pt idx="3">
                  <c:v>0.16666666666666666</c:v>
                </c:pt>
              </c:numCache>
            </c:numRef>
          </c:val>
          <c:extLst>
            <c:ext xmlns:c16="http://schemas.microsoft.com/office/drawing/2014/chart" uri="{C3380CC4-5D6E-409C-BE32-E72D297353CC}">
              <c16:uniqueId val="{00000000-098A-4441-BA02-37ADE75C1DE8}"/>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'D12'!$E$28:$E$31</c:f>
              <c:numCache>
                <c:formatCode>0%</c:formatCode>
                <c:ptCount val="4"/>
                <c:pt idx="0">
                  <c:v>1</c:v>
                </c:pt>
                <c:pt idx="1">
                  <c:v>0</c:v>
                </c:pt>
                <c:pt idx="2">
                  <c:v>0</c:v>
                </c:pt>
                <c:pt idx="3">
                  <c:v>0</c:v>
                </c:pt>
              </c:numCache>
            </c:numRef>
          </c:val>
          <c:extLst>
            <c:ext xmlns:c16="http://schemas.microsoft.com/office/drawing/2014/chart" uri="{C3380CC4-5D6E-409C-BE32-E72D297353CC}">
              <c16:uniqueId val="{00000000-C38E-478F-A1B9-FC78BAF4A38B}"/>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'D13'!$E$28:$E$31</c:f>
              <c:numCache>
                <c:formatCode>0%</c:formatCode>
                <c:ptCount val="4"/>
                <c:pt idx="0">
                  <c:v>0.60000000000000009</c:v>
                </c:pt>
                <c:pt idx="1">
                  <c:v>0.13333333333333333</c:v>
                </c:pt>
                <c:pt idx="2">
                  <c:v>0.13333333333333333</c:v>
                </c:pt>
                <c:pt idx="3">
                  <c:v>0.13333333333333333</c:v>
                </c:pt>
              </c:numCache>
            </c:numRef>
          </c:val>
          <c:extLst>
            <c:ext xmlns:c16="http://schemas.microsoft.com/office/drawing/2014/chart" uri="{C3380CC4-5D6E-409C-BE32-E72D297353CC}">
              <c16:uniqueId val="{00000000-CF54-4042-AB3A-135CD6343D4E}"/>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13</a:t>
            </a:r>
            <a:r>
              <a:rPr lang="pt-BR" baseline="0"/>
              <a:t> - A atuação da Coordenação do PGMAT tem sido eficiente e transparente ?</a:t>
            </a:r>
            <a:endParaRPr lang="pt-B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INST.'!$T$173:$T$176</c:f>
              <c:strCache>
                <c:ptCount val="4"/>
                <c:pt idx="0">
                  <c:v>MUITO BOM / ÓTIMO</c:v>
                </c:pt>
                <c:pt idx="1">
                  <c:v>BOM</c:v>
                </c:pt>
                <c:pt idx="2">
                  <c:v>RUIM / REGULAR</c:v>
                </c:pt>
                <c:pt idx="3">
                  <c:v>NÃO SE APLICA / NÃO SEI</c:v>
                </c:pt>
              </c:strCache>
            </c:strRef>
          </c:cat>
          <c:val>
            <c:numRef>
              <c:f>'Dashboard-1-AVALIAÇÃO INST.'!$U$173:$U$176</c:f>
              <c:numCache>
                <c:formatCode>0%</c:formatCode>
                <c:ptCount val="4"/>
                <c:pt idx="0">
                  <c:v>0.82524271844660191</c:v>
                </c:pt>
                <c:pt idx="1">
                  <c:v>6.7961165048543687E-2</c:v>
                </c:pt>
                <c:pt idx="2">
                  <c:v>2.9126213592233007E-2</c:v>
                </c:pt>
                <c:pt idx="3">
                  <c:v>7.7669902912621352E-2</c:v>
                </c:pt>
              </c:numCache>
            </c:numRef>
          </c:val>
          <c:extLst>
            <c:ext xmlns:c16="http://schemas.microsoft.com/office/drawing/2014/chart" uri="{C3380CC4-5D6E-409C-BE32-E72D297353CC}">
              <c16:uniqueId val="{00000000-2E08-4DBF-968B-7719A2FE0728}"/>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'D3'!$E$28:$E$31</c:f>
              <c:numCache>
                <c:formatCode>0%</c:formatCode>
                <c:ptCount val="4"/>
                <c:pt idx="0">
                  <c:v>0.6</c:v>
                </c:pt>
                <c:pt idx="1">
                  <c:v>0.2</c:v>
                </c:pt>
                <c:pt idx="2">
                  <c:v>0.2</c:v>
                </c:pt>
                <c:pt idx="3">
                  <c:v>0</c:v>
                </c:pt>
              </c:numCache>
            </c:numRef>
          </c:val>
          <c:extLst>
            <c:ext xmlns:c16="http://schemas.microsoft.com/office/drawing/2014/chart" uri="{C3380CC4-5D6E-409C-BE32-E72D297353CC}">
              <c16:uniqueId val="{00000000-BA6F-4EE3-B66F-D35051842872}"/>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'D5'!$E$28:$E$31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D933-436C-9113-0D1D29948B92}"/>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'D6'!$E$28:$E$31</c:f>
              <c:numCache>
                <c:formatCode>0%</c:formatCode>
                <c:ptCount val="4"/>
                <c:pt idx="0">
                  <c:v>0.8</c:v>
                </c:pt>
                <c:pt idx="1">
                  <c:v>0.2</c:v>
                </c:pt>
                <c:pt idx="2">
                  <c:v>0</c:v>
                </c:pt>
                <c:pt idx="3">
                  <c:v>0</c:v>
                </c:pt>
              </c:numCache>
            </c:numRef>
          </c:val>
          <c:extLst>
            <c:ext xmlns:c16="http://schemas.microsoft.com/office/drawing/2014/chart" uri="{C3380CC4-5D6E-409C-BE32-E72D297353CC}">
              <c16:uniqueId val="{00000000-F601-445A-A23D-9385F38DD8B7}"/>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'D7'!$E$28:$E$31</c:f>
              <c:numCache>
                <c:formatCode>0%</c:formatCode>
                <c:ptCount val="4"/>
                <c:pt idx="0">
                  <c:v>0.5</c:v>
                </c:pt>
                <c:pt idx="1">
                  <c:v>0.25</c:v>
                </c:pt>
                <c:pt idx="2">
                  <c:v>0.25</c:v>
                </c:pt>
                <c:pt idx="3">
                  <c:v>0</c:v>
                </c:pt>
              </c:numCache>
            </c:numRef>
          </c:val>
          <c:extLst>
            <c:ext xmlns:c16="http://schemas.microsoft.com/office/drawing/2014/chart" uri="{C3380CC4-5D6E-409C-BE32-E72D297353CC}">
              <c16:uniqueId val="{00000000-DECF-4041-8D8D-9D45C1DCC51A}"/>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'D11'!$E$28:$E$31</c:f>
              <c:numCache>
                <c:formatCode>0%</c:formatCode>
                <c:ptCount val="4"/>
                <c:pt idx="0">
                  <c:v>1</c:v>
                </c:pt>
                <c:pt idx="1">
                  <c:v>0</c:v>
                </c:pt>
                <c:pt idx="2">
                  <c:v>0</c:v>
                </c:pt>
                <c:pt idx="3">
                  <c:v>0</c:v>
                </c:pt>
              </c:numCache>
            </c:numRef>
          </c:val>
          <c:extLst>
            <c:ext xmlns:c16="http://schemas.microsoft.com/office/drawing/2014/chart" uri="{C3380CC4-5D6E-409C-BE32-E72D297353CC}">
              <c16:uniqueId val="{00000000-0E05-48A7-82F5-2B93AF50A6F7}"/>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'D4'!$F$28:$F$31</c:f>
              <c:numCache>
                <c:formatCode>0%</c:formatCode>
                <c:ptCount val="4"/>
                <c:pt idx="0">
                  <c:v>0.75</c:v>
                </c:pt>
                <c:pt idx="1">
                  <c:v>0</c:v>
                </c:pt>
                <c:pt idx="2">
                  <c:v>0.25</c:v>
                </c:pt>
                <c:pt idx="3">
                  <c:v>0</c:v>
                </c:pt>
              </c:numCache>
            </c:numRef>
          </c:val>
          <c:extLst>
            <c:ext xmlns:c16="http://schemas.microsoft.com/office/drawing/2014/chart" uri="{C3380CC4-5D6E-409C-BE32-E72D297353CC}">
              <c16:uniqueId val="{00000000-4A45-4FE7-9343-319E3C7AB751}"/>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'D8'!$F$28:$F$31</c:f>
              <c:numCache>
                <c:formatCode>0%</c:formatCode>
                <c:ptCount val="4"/>
                <c:pt idx="0">
                  <c:v>1</c:v>
                </c:pt>
                <c:pt idx="1">
                  <c:v>0</c:v>
                </c:pt>
                <c:pt idx="2">
                  <c:v>0</c:v>
                </c:pt>
                <c:pt idx="3">
                  <c:v>0</c:v>
                </c:pt>
              </c:numCache>
            </c:numRef>
          </c:val>
          <c:extLst>
            <c:ext xmlns:c16="http://schemas.microsoft.com/office/drawing/2014/chart" uri="{C3380CC4-5D6E-409C-BE32-E72D297353CC}">
              <c16:uniqueId val="{00000000-204D-4BD0-9D11-678A6ED59573}"/>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'D9'!$F$28:$F$31</c:f>
              <c:numCache>
                <c:formatCode>0%</c:formatCode>
                <c:ptCount val="4"/>
                <c:pt idx="0">
                  <c:v>0.75</c:v>
                </c:pt>
                <c:pt idx="1">
                  <c:v>0</c:v>
                </c:pt>
                <c:pt idx="2">
                  <c:v>0.125</c:v>
                </c:pt>
                <c:pt idx="3">
                  <c:v>0.125</c:v>
                </c:pt>
              </c:numCache>
            </c:numRef>
          </c:val>
          <c:extLst>
            <c:ext xmlns:c16="http://schemas.microsoft.com/office/drawing/2014/chart" uri="{C3380CC4-5D6E-409C-BE32-E72D297353CC}">
              <c16:uniqueId val="{00000000-6EB7-448B-8CF9-3DBE3849157A}"/>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'D10'!$F$28:$F$31</c:f>
              <c:numCache>
                <c:formatCode>0%</c:formatCode>
                <c:ptCount val="4"/>
                <c:pt idx="0">
                  <c:v>1</c:v>
                </c:pt>
                <c:pt idx="1">
                  <c:v>0</c:v>
                </c:pt>
                <c:pt idx="2">
                  <c:v>0</c:v>
                </c:pt>
                <c:pt idx="3">
                  <c:v>0</c:v>
                </c:pt>
              </c:numCache>
            </c:numRef>
          </c:val>
          <c:extLst>
            <c:ext xmlns:c16="http://schemas.microsoft.com/office/drawing/2014/chart" uri="{C3380CC4-5D6E-409C-BE32-E72D297353CC}">
              <c16:uniqueId val="{00000000-F249-4E41-AB48-50DEABD9C002}"/>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'D12'!$F$28:$F$31</c:f>
              <c:numCache>
                <c:formatCode>0%</c:formatCode>
                <c:ptCount val="4"/>
                <c:pt idx="0">
                  <c:v>1</c:v>
                </c:pt>
                <c:pt idx="1">
                  <c:v>0</c:v>
                </c:pt>
                <c:pt idx="2">
                  <c:v>0</c:v>
                </c:pt>
                <c:pt idx="3">
                  <c:v>0</c:v>
                </c:pt>
              </c:numCache>
            </c:numRef>
          </c:val>
          <c:extLst>
            <c:ext xmlns:c16="http://schemas.microsoft.com/office/drawing/2014/chart" uri="{C3380CC4-5D6E-409C-BE32-E72D297353CC}">
              <c16:uniqueId val="{00000000-CDFB-4F00-BCD9-962071C02741}"/>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14 - </a:t>
            </a:r>
            <a:r>
              <a:rPr lang="pt-BR" sz="1200" b="0" i="0" u="none" strike="noStrike" cap="none" baseline="0">
                <a:effectLst/>
              </a:rPr>
              <a:t>A atuação da Secretaria do PGMAT tem sido eficiente e transparente ?</a:t>
            </a:r>
            <a:endParaRPr lang="pt-BR" sz="1200"/>
          </a:p>
        </c:rich>
      </c:tx>
      <c:layout>
        <c:manualLayout>
          <c:xMode val="edge"/>
          <c:yMode val="edge"/>
          <c:x val="0.17123025880083412"/>
          <c:y val="2.5072603270717402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INST.'!$D$194:$D$197</c:f>
              <c:strCache>
                <c:ptCount val="4"/>
                <c:pt idx="0">
                  <c:v>MUITO BOM / ÓTIMO</c:v>
                </c:pt>
                <c:pt idx="1">
                  <c:v>BOM</c:v>
                </c:pt>
                <c:pt idx="2">
                  <c:v>RUIM / REGULAR</c:v>
                </c:pt>
                <c:pt idx="3">
                  <c:v>NÃO SE APLICA / NÃO SEI</c:v>
                </c:pt>
              </c:strCache>
            </c:strRef>
          </c:cat>
          <c:val>
            <c:numRef>
              <c:f>'Dashboard-1-AVALIAÇÃO INST.'!$F$194:$F$197</c:f>
              <c:numCache>
                <c:formatCode>0%</c:formatCode>
                <c:ptCount val="4"/>
                <c:pt idx="0">
                  <c:v>0.91111111111111109</c:v>
                </c:pt>
                <c:pt idx="1">
                  <c:v>6.6666666666666666E-2</c:v>
                </c:pt>
                <c:pt idx="2">
                  <c:v>0</c:v>
                </c:pt>
                <c:pt idx="3">
                  <c:v>2.2222222222222223E-2</c:v>
                </c:pt>
              </c:numCache>
            </c:numRef>
          </c:val>
          <c:extLst>
            <c:ext xmlns:c16="http://schemas.microsoft.com/office/drawing/2014/chart" uri="{C3380CC4-5D6E-409C-BE32-E72D297353CC}">
              <c16:uniqueId val="{00000000-1F53-4F04-B1AC-939D44EA1374}"/>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53-4F04-B1AC-939D44EA1374}"/>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53-4F04-B1AC-939D44EA1374}"/>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53-4F04-B1AC-939D44EA1374}"/>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53-4F04-B1AC-939D44EA137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INST.'!$D$194:$D$197</c:f>
              <c:strCache>
                <c:ptCount val="4"/>
                <c:pt idx="0">
                  <c:v>MUITO BOM / ÓTIMO</c:v>
                </c:pt>
                <c:pt idx="1">
                  <c:v>BOM</c:v>
                </c:pt>
                <c:pt idx="2">
                  <c:v>RUIM / REGULAR</c:v>
                </c:pt>
                <c:pt idx="3">
                  <c:v>NÃO SE APLICA / NÃO SEI</c:v>
                </c:pt>
              </c:strCache>
            </c:strRef>
          </c:cat>
          <c:val>
            <c:numRef>
              <c:f>'Dashboard-1-AVALIAÇÃO INST.'!$E$194:$E$197</c:f>
              <c:numCache>
                <c:formatCode>0%</c:formatCode>
                <c:ptCount val="4"/>
                <c:pt idx="0">
                  <c:v>0.89655172413793105</c:v>
                </c:pt>
                <c:pt idx="1">
                  <c:v>3.4482758620689655E-2</c:v>
                </c:pt>
                <c:pt idx="2">
                  <c:v>3.4482758620689655E-2</c:v>
                </c:pt>
                <c:pt idx="3">
                  <c:v>3.4482758620689655E-2</c:v>
                </c:pt>
              </c:numCache>
            </c:numRef>
          </c:val>
          <c:extLst>
            <c:ext xmlns:c16="http://schemas.microsoft.com/office/drawing/2014/chart" uri="{C3380CC4-5D6E-409C-BE32-E72D297353CC}">
              <c16:uniqueId val="{00000005-1F53-4F04-B1AC-939D44EA1374}"/>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'D13'!$F$28:$F$31</c:f>
              <c:numCache>
                <c:formatCode>0%</c:formatCode>
                <c:ptCount val="4"/>
                <c:pt idx="0">
                  <c:v>0.93333333333333335</c:v>
                </c:pt>
                <c:pt idx="1">
                  <c:v>6.6666666666666666E-2</c:v>
                </c:pt>
                <c:pt idx="2">
                  <c:v>0</c:v>
                </c:pt>
                <c:pt idx="3">
                  <c:v>0</c:v>
                </c:pt>
              </c:numCache>
            </c:numRef>
          </c:val>
          <c:extLst>
            <c:ext xmlns:c16="http://schemas.microsoft.com/office/drawing/2014/chart" uri="{C3380CC4-5D6E-409C-BE32-E72D297353CC}">
              <c16:uniqueId val="{00000000-F83C-4C6C-8F06-A026096386DA}"/>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'D3'!$F$28:$F$31</c:f>
              <c:numCache>
                <c:formatCode>0%</c:formatCode>
                <c:ptCount val="4"/>
                <c:pt idx="0">
                  <c:v>0.8</c:v>
                </c:pt>
                <c:pt idx="1">
                  <c:v>0.2</c:v>
                </c:pt>
                <c:pt idx="2">
                  <c:v>0</c:v>
                </c:pt>
                <c:pt idx="3">
                  <c:v>0</c:v>
                </c:pt>
              </c:numCache>
            </c:numRef>
          </c:val>
          <c:extLst>
            <c:ext xmlns:c16="http://schemas.microsoft.com/office/drawing/2014/chart" uri="{C3380CC4-5D6E-409C-BE32-E72D297353CC}">
              <c16:uniqueId val="{00000000-6BBE-49D4-AF3B-AA5DF168799A}"/>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'D5'!$F$28:$F$31</c:f>
              <c:numCache>
                <c:formatCode>0%</c:formatCode>
                <c:ptCount val="4"/>
                <c:pt idx="0">
                  <c:v>1</c:v>
                </c:pt>
                <c:pt idx="1">
                  <c:v>0</c:v>
                </c:pt>
                <c:pt idx="2">
                  <c:v>0</c:v>
                </c:pt>
                <c:pt idx="3">
                  <c:v>0</c:v>
                </c:pt>
              </c:numCache>
            </c:numRef>
          </c:val>
          <c:extLst>
            <c:ext xmlns:c16="http://schemas.microsoft.com/office/drawing/2014/chart" uri="{C3380CC4-5D6E-409C-BE32-E72D297353CC}">
              <c16:uniqueId val="{00000000-7C90-4D4D-9F1E-24196EF0808A}"/>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'D6'!$F$28:$F$31</c:f>
              <c:numCache>
                <c:formatCode>0%</c:formatCode>
                <c:ptCount val="4"/>
                <c:pt idx="0">
                  <c:v>1</c:v>
                </c:pt>
                <c:pt idx="1">
                  <c:v>0</c:v>
                </c:pt>
                <c:pt idx="2">
                  <c:v>0</c:v>
                </c:pt>
                <c:pt idx="3">
                  <c:v>0</c:v>
                </c:pt>
              </c:numCache>
            </c:numRef>
          </c:val>
          <c:extLst>
            <c:ext xmlns:c16="http://schemas.microsoft.com/office/drawing/2014/chart" uri="{C3380CC4-5D6E-409C-BE32-E72D297353CC}">
              <c16:uniqueId val="{00000000-9CED-4C78-85F2-C25A537680AC}"/>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'D7'!$F$28:$F$31</c:f>
              <c:numCache>
                <c:formatCode>0%</c:formatCode>
                <c:ptCount val="4"/>
                <c:pt idx="0">
                  <c:v>0.5</c:v>
                </c:pt>
                <c:pt idx="1">
                  <c:v>0.25</c:v>
                </c:pt>
                <c:pt idx="2">
                  <c:v>0.25</c:v>
                </c:pt>
                <c:pt idx="3">
                  <c:v>0</c:v>
                </c:pt>
              </c:numCache>
            </c:numRef>
          </c:val>
          <c:extLst>
            <c:ext xmlns:c16="http://schemas.microsoft.com/office/drawing/2014/chart" uri="{C3380CC4-5D6E-409C-BE32-E72D297353CC}">
              <c16:uniqueId val="{00000000-6328-49E9-BF61-876599A3F69C}"/>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'D11'!$F$28:$F$31</c:f>
              <c:numCache>
                <c:formatCode>0%</c:formatCode>
                <c:ptCount val="4"/>
                <c:pt idx="0">
                  <c:v>1</c:v>
                </c:pt>
                <c:pt idx="1">
                  <c:v>0</c:v>
                </c:pt>
                <c:pt idx="2">
                  <c:v>0</c:v>
                </c:pt>
                <c:pt idx="3">
                  <c:v>0</c:v>
                </c:pt>
              </c:numCache>
            </c:numRef>
          </c:val>
          <c:extLst>
            <c:ext xmlns:c16="http://schemas.microsoft.com/office/drawing/2014/chart" uri="{C3380CC4-5D6E-409C-BE32-E72D297353CC}">
              <c16:uniqueId val="{00000000-109F-4064-82F4-6ADCB5C1D581}"/>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3DA6-4AC1-9543-C36C0CB1145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91A0-454B-8E5D-36A1EFA6A1C2}"/>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'D9'!$G$28:$G$31</c:f>
              <c:numCache>
                <c:formatCode>0%</c:formatCode>
                <c:ptCount val="4"/>
                <c:pt idx="0">
                  <c:v>0.875</c:v>
                </c:pt>
                <c:pt idx="1">
                  <c:v>0</c:v>
                </c:pt>
                <c:pt idx="2">
                  <c:v>0</c:v>
                </c:pt>
                <c:pt idx="3">
                  <c:v>0.125</c:v>
                </c:pt>
              </c:numCache>
            </c:numRef>
          </c:val>
          <c:extLst>
            <c:ext xmlns:c16="http://schemas.microsoft.com/office/drawing/2014/chart" uri="{C3380CC4-5D6E-409C-BE32-E72D297353CC}">
              <c16:uniqueId val="{00000000-04CD-4947-B6AD-42EA36D6474B}"/>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C6B5-4A37-B3AE-294814B60231}"/>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14</a:t>
            </a:r>
            <a:r>
              <a:rPr lang="pt-BR" baseline="0"/>
              <a:t> - A atuação da Secretaria do PGMAT tem sido eficiente e transparente ?</a:t>
            </a:r>
            <a:endParaRPr lang="pt-B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INST.'!$T$193:$T$196</c:f>
              <c:strCache>
                <c:ptCount val="4"/>
                <c:pt idx="0">
                  <c:v>MUITO BOM / ÓTIMO</c:v>
                </c:pt>
                <c:pt idx="1">
                  <c:v>BOM</c:v>
                </c:pt>
                <c:pt idx="2">
                  <c:v>RUIM / REGULAR</c:v>
                </c:pt>
                <c:pt idx="3">
                  <c:v>NÃO SE APLICA / NÃO SEI</c:v>
                </c:pt>
              </c:strCache>
            </c:strRef>
          </c:cat>
          <c:val>
            <c:numRef>
              <c:f>'Dashboard-1-AVALIAÇÃO INST.'!$U$193:$U$196</c:f>
              <c:numCache>
                <c:formatCode>0%</c:formatCode>
                <c:ptCount val="4"/>
                <c:pt idx="0">
                  <c:v>0.90291262135922334</c:v>
                </c:pt>
                <c:pt idx="1">
                  <c:v>4.8543689320388349E-2</c:v>
                </c:pt>
                <c:pt idx="2">
                  <c:v>1.9417475728155338E-2</c:v>
                </c:pt>
                <c:pt idx="3">
                  <c:v>2.9126213592233011E-2</c:v>
                </c:pt>
              </c:numCache>
            </c:numRef>
          </c:val>
          <c:extLst>
            <c:ext xmlns:c16="http://schemas.microsoft.com/office/drawing/2014/chart" uri="{C3380CC4-5D6E-409C-BE32-E72D297353CC}">
              <c16:uniqueId val="{00000000-50CA-4869-8274-C726E610A182}"/>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BA2C-4339-85CB-EF3F8673F380}"/>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8EFB-4498-BABD-ADDA13D6BDC8}"/>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B0AF-48F0-BE23-568E9C377C0D}"/>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9231-420B-8949-3EB74968F1AB}"/>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FA9E-41D1-81F1-2AD73BF6618C}"/>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'D7'!$G$28:$G$31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8686-48D2-A10E-5D3D3C58BCD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'D11'!$G$28:$G$31</c:f>
              <c:numCache>
                <c:formatCode>0%</c:formatCode>
                <c:ptCount val="4"/>
                <c:pt idx="0">
                  <c:v>1</c:v>
                </c:pt>
                <c:pt idx="1">
                  <c:v>0</c:v>
                </c:pt>
                <c:pt idx="2">
                  <c:v>0</c:v>
                </c:pt>
                <c:pt idx="3">
                  <c:v>0</c:v>
                </c:pt>
              </c:numCache>
            </c:numRef>
          </c:val>
          <c:extLst>
            <c:ext xmlns:c16="http://schemas.microsoft.com/office/drawing/2014/chart" uri="{C3380CC4-5D6E-409C-BE32-E72D297353CC}">
              <c16:uniqueId val="{00000000-8408-484E-B3CE-2424A9DE1C32}"/>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'D4'!$I$28:$I$31</c:f>
              <c:numCache>
                <c:formatCode>0%</c:formatCode>
                <c:ptCount val="4"/>
                <c:pt idx="0">
                  <c:v>1</c:v>
                </c:pt>
                <c:pt idx="1">
                  <c:v>0</c:v>
                </c:pt>
                <c:pt idx="2">
                  <c:v>0</c:v>
                </c:pt>
                <c:pt idx="3">
                  <c:v>0</c:v>
                </c:pt>
              </c:numCache>
            </c:numRef>
          </c:val>
          <c:extLst>
            <c:ext xmlns:c16="http://schemas.microsoft.com/office/drawing/2014/chart" uri="{C3380CC4-5D6E-409C-BE32-E72D297353CC}">
              <c16:uniqueId val="{00000000-D5A4-43EA-B6D6-5D471AB8FAAC}"/>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'D8'!$I$28:$I$31</c:f>
              <c:numCache>
                <c:formatCode>0%</c:formatCode>
                <c:ptCount val="4"/>
                <c:pt idx="0">
                  <c:v>1</c:v>
                </c:pt>
                <c:pt idx="1">
                  <c:v>0</c:v>
                </c:pt>
                <c:pt idx="2">
                  <c:v>0</c:v>
                </c:pt>
                <c:pt idx="3">
                  <c:v>0</c:v>
                </c:pt>
              </c:numCache>
            </c:numRef>
          </c:val>
          <c:extLst>
            <c:ext xmlns:c16="http://schemas.microsoft.com/office/drawing/2014/chart" uri="{C3380CC4-5D6E-409C-BE32-E72D297353CC}">
              <c16:uniqueId val="{00000000-7EB5-49D9-8F4F-2597EC38E61F}"/>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'D9'!$I$28:$I$31</c:f>
              <c:numCache>
                <c:formatCode>0%</c:formatCode>
                <c:ptCount val="4"/>
                <c:pt idx="0">
                  <c:v>0.875</c:v>
                </c:pt>
                <c:pt idx="1">
                  <c:v>0</c:v>
                </c:pt>
                <c:pt idx="2">
                  <c:v>0</c:v>
                </c:pt>
                <c:pt idx="3">
                  <c:v>0.125</c:v>
                </c:pt>
              </c:numCache>
            </c:numRef>
          </c:val>
          <c:extLst>
            <c:ext xmlns:c16="http://schemas.microsoft.com/office/drawing/2014/chart" uri="{C3380CC4-5D6E-409C-BE32-E72D297353CC}">
              <c16:uniqueId val="{00000000-64D7-4E0D-BCE1-4803E8BB708B}"/>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15 - </a:t>
            </a:r>
            <a:r>
              <a:rPr lang="pt-BR" sz="1200" b="0" i="0" u="none" strike="noStrike" cap="none" baseline="0">
                <a:effectLst/>
              </a:rPr>
              <a:t>Você conhece/ia o planejamento orçamentário e o acompanhamento da execução relativos ao PROEX no PGMAT ?</a:t>
            </a:r>
            <a:endParaRPr lang="pt-BR" sz="1200"/>
          </a:p>
        </c:rich>
      </c:tx>
      <c:layout>
        <c:manualLayout>
          <c:xMode val="edge"/>
          <c:yMode val="edge"/>
          <c:x val="0.17123025880083412"/>
          <c:y val="2.5072603270717402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INST.'!$D$215:$D$218</c:f>
              <c:strCache>
                <c:ptCount val="4"/>
                <c:pt idx="0">
                  <c:v>MUITO BOM / ÓTIMO</c:v>
                </c:pt>
                <c:pt idx="1">
                  <c:v>BOM</c:v>
                </c:pt>
                <c:pt idx="2">
                  <c:v>RUIM / REGULAR</c:v>
                </c:pt>
                <c:pt idx="3">
                  <c:v>NÃO SE APLICA / NÃO SEI</c:v>
                </c:pt>
              </c:strCache>
            </c:strRef>
          </c:cat>
          <c:val>
            <c:numRef>
              <c:f>'Dashboard-1-AVALIAÇÃO INST.'!$F$215:$F$218</c:f>
              <c:numCache>
                <c:formatCode>0%</c:formatCode>
                <c:ptCount val="4"/>
                <c:pt idx="0">
                  <c:v>0.24444444444444446</c:v>
                </c:pt>
                <c:pt idx="1">
                  <c:v>8.8888888888888892E-2</c:v>
                </c:pt>
                <c:pt idx="2">
                  <c:v>0.15555555555555556</c:v>
                </c:pt>
                <c:pt idx="3">
                  <c:v>0.51111111111111107</c:v>
                </c:pt>
              </c:numCache>
            </c:numRef>
          </c:val>
          <c:extLst>
            <c:ext xmlns:c16="http://schemas.microsoft.com/office/drawing/2014/chart" uri="{C3380CC4-5D6E-409C-BE32-E72D297353CC}">
              <c16:uniqueId val="{00000000-C4CD-4AC9-80D0-A56FE96C3189}"/>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CD-4AC9-80D0-A56FE96C3189}"/>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CD-4AC9-80D0-A56FE96C3189}"/>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CD-4AC9-80D0-A56FE96C3189}"/>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CD-4AC9-80D0-A56FE96C318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INST.'!$D$215:$D$218</c:f>
              <c:strCache>
                <c:ptCount val="4"/>
                <c:pt idx="0">
                  <c:v>MUITO BOM / ÓTIMO</c:v>
                </c:pt>
                <c:pt idx="1">
                  <c:v>BOM</c:v>
                </c:pt>
                <c:pt idx="2">
                  <c:v>RUIM / REGULAR</c:v>
                </c:pt>
                <c:pt idx="3">
                  <c:v>NÃO SE APLICA / NÃO SEI</c:v>
                </c:pt>
              </c:strCache>
            </c:strRef>
          </c:cat>
          <c:val>
            <c:numRef>
              <c:f>'Dashboard-1-AVALIAÇÃO INST.'!$E$215:$E$218</c:f>
              <c:numCache>
                <c:formatCode>0%</c:formatCode>
                <c:ptCount val="4"/>
                <c:pt idx="0">
                  <c:v>0.20689655172413796</c:v>
                </c:pt>
                <c:pt idx="1">
                  <c:v>0.1206896551724138</c:v>
                </c:pt>
                <c:pt idx="2">
                  <c:v>0.15517241379310345</c:v>
                </c:pt>
                <c:pt idx="3">
                  <c:v>0.51724137931034486</c:v>
                </c:pt>
              </c:numCache>
            </c:numRef>
          </c:val>
          <c:extLst>
            <c:ext xmlns:c16="http://schemas.microsoft.com/office/drawing/2014/chart" uri="{C3380CC4-5D6E-409C-BE32-E72D297353CC}">
              <c16:uniqueId val="{00000005-C4CD-4AC9-80D0-A56FE96C3189}"/>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'D10'!$I$28:$I$31</c:f>
              <c:numCache>
                <c:formatCode>0%</c:formatCode>
                <c:ptCount val="4"/>
                <c:pt idx="0">
                  <c:v>1</c:v>
                </c:pt>
                <c:pt idx="1">
                  <c:v>0</c:v>
                </c:pt>
                <c:pt idx="2">
                  <c:v>0</c:v>
                </c:pt>
                <c:pt idx="3">
                  <c:v>0</c:v>
                </c:pt>
              </c:numCache>
            </c:numRef>
          </c:val>
          <c:extLst>
            <c:ext xmlns:c16="http://schemas.microsoft.com/office/drawing/2014/chart" uri="{C3380CC4-5D6E-409C-BE32-E72D297353CC}">
              <c16:uniqueId val="{00000000-6173-43F0-8D72-D790030F3ADF}"/>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'D12'!$I$28:$I$31</c:f>
              <c:numCache>
                <c:formatCode>0%</c:formatCode>
                <c:ptCount val="4"/>
                <c:pt idx="0">
                  <c:v>1</c:v>
                </c:pt>
                <c:pt idx="1">
                  <c:v>0</c:v>
                </c:pt>
                <c:pt idx="2">
                  <c:v>0</c:v>
                </c:pt>
                <c:pt idx="3">
                  <c:v>0</c:v>
                </c:pt>
              </c:numCache>
            </c:numRef>
          </c:val>
          <c:extLst>
            <c:ext xmlns:c16="http://schemas.microsoft.com/office/drawing/2014/chart" uri="{C3380CC4-5D6E-409C-BE32-E72D297353CC}">
              <c16:uniqueId val="{00000000-4B04-40B0-91EB-852CD5DB609D}"/>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'D13'!$I$28:$I$31</c:f>
              <c:numCache>
                <c:formatCode>0%</c:formatCode>
                <c:ptCount val="4"/>
                <c:pt idx="0">
                  <c:v>0.8666666666666667</c:v>
                </c:pt>
                <c:pt idx="1">
                  <c:v>6.6666666666666666E-2</c:v>
                </c:pt>
                <c:pt idx="2">
                  <c:v>0</c:v>
                </c:pt>
                <c:pt idx="3">
                  <c:v>6.6666666666666666E-2</c:v>
                </c:pt>
              </c:numCache>
            </c:numRef>
          </c:val>
          <c:extLst>
            <c:ext xmlns:c16="http://schemas.microsoft.com/office/drawing/2014/chart" uri="{C3380CC4-5D6E-409C-BE32-E72D297353CC}">
              <c16:uniqueId val="{00000000-63B3-4428-803C-9FE44C4C9EFC}"/>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'D3'!$I$28:$I$31</c:f>
              <c:numCache>
                <c:formatCode>0%</c:formatCode>
                <c:ptCount val="4"/>
                <c:pt idx="0">
                  <c:v>1</c:v>
                </c:pt>
                <c:pt idx="1">
                  <c:v>0</c:v>
                </c:pt>
                <c:pt idx="2">
                  <c:v>0</c:v>
                </c:pt>
                <c:pt idx="3">
                  <c:v>0</c:v>
                </c:pt>
              </c:numCache>
            </c:numRef>
          </c:val>
          <c:extLst>
            <c:ext xmlns:c16="http://schemas.microsoft.com/office/drawing/2014/chart" uri="{C3380CC4-5D6E-409C-BE32-E72D297353CC}">
              <c16:uniqueId val="{00000000-CE30-4A4B-AA00-B29A35CBC082}"/>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'D5'!$I$28:$I$31</c:f>
              <c:numCache>
                <c:formatCode>0%</c:formatCode>
                <c:ptCount val="4"/>
                <c:pt idx="0">
                  <c:v>1</c:v>
                </c:pt>
                <c:pt idx="1">
                  <c:v>0</c:v>
                </c:pt>
                <c:pt idx="2">
                  <c:v>0</c:v>
                </c:pt>
                <c:pt idx="3">
                  <c:v>0</c:v>
                </c:pt>
              </c:numCache>
            </c:numRef>
          </c:val>
          <c:extLst>
            <c:ext xmlns:c16="http://schemas.microsoft.com/office/drawing/2014/chart" uri="{C3380CC4-5D6E-409C-BE32-E72D297353CC}">
              <c16:uniqueId val="{00000000-767F-4D10-840E-A58423145281}"/>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'D6'!$I$28:$I$31</c:f>
              <c:numCache>
                <c:formatCode>0%</c:formatCode>
                <c:ptCount val="4"/>
                <c:pt idx="0">
                  <c:v>0.8</c:v>
                </c:pt>
                <c:pt idx="1">
                  <c:v>0</c:v>
                </c:pt>
                <c:pt idx="2">
                  <c:v>0.2</c:v>
                </c:pt>
                <c:pt idx="3">
                  <c:v>0</c:v>
                </c:pt>
              </c:numCache>
            </c:numRef>
          </c:val>
          <c:extLst>
            <c:ext xmlns:c16="http://schemas.microsoft.com/office/drawing/2014/chart" uri="{C3380CC4-5D6E-409C-BE32-E72D297353CC}">
              <c16:uniqueId val="{00000000-CA31-471B-A185-27DE7D6019A6}"/>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'D7'!$I$28:$I$31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55B9-43B0-B7D6-FBB8DAC4D121}"/>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'D11'!$I$28:$I$31</c:f>
              <c:numCache>
                <c:formatCode>0%</c:formatCode>
                <c:ptCount val="4"/>
                <c:pt idx="0">
                  <c:v>1</c:v>
                </c:pt>
                <c:pt idx="1">
                  <c:v>0</c:v>
                </c:pt>
                <c:pt idx="2">
                  <c:v>0</c:v>
                </c:pt>
                <c:pt idx="3">
                  <c:v>0</c:v>
                </c:pt>
              </c:numCache>
            </c:numRef>
          </c:val>
          <c:extLst>
            <c:ext xmlns:c16="http://schemas.microsoft.com/office/drawing/2014/chart" uri="{C3380CC4-5D6E-409C-BE32-E72D297353CC}">
              <c16:uniqueId val="{00000000-D139-4549-B21F-0FA075A4A88A}"/>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'D4'!$J$28:$J$31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4536-49D4-8A4D-048902734C5C}"/>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'D8'!$J$28:$J$31</c:f>
              <c:numCache>
                <c:formatCode>0%</c:formatCode>
                <c:ptCount val="4"/>
                <c:pt idx="0">
                  <c:v>1</c:v>
                </c:pt>
                <c:pt idx="1">
                  <c:v>0</c:v>
                </c:pt>
                <c:pt idx="2">
                  <c:v>0</c:v>
                </c:pt>
                <c:pt idx="3">
                  <c:v>0</c:v>
                </c:pt>
              </c:numCache>
            </c:numRef>
          </c:val>
          <c:extLst>
            <c:ext xmlns:c16="http://schemas.microsoft.com/office/drawing/2014/chart" uri="{C3380CC4-5D6E-409C-BE32-E72D297353CC}">
              <c16:uniqueId val="{00000000-B9E1-4F37-A65F-83D920B32A8B}"/>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15</a:t>
            </a:r>
            <a:r>
              <a:rPr lang="pt-BR" baseline="0"/>
              <a:t> - Você conhece/ia o planejamento orçamentário e o acompanhamento da execução relativos ao PROEX no PGMAT ?</a:t>
            </a:r>
            <a:endParaRPr lang="pt-BR"/>
          </a:p>
        </c:rich>
      </c:tx>
      <c:layout>
        <c:manualLayout>
          <c:xMode val="edge"/>
          <c:yMode val="edge"/>
          <c:x val="0.1442816889484306"/>
          <c:y val="2.55012835598499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INST.'!$T$214:$T$217</c:f>
              <c:strCache>
                <c:ptCount val="4"/>
                <c:pt idx="0">
                  <c:v>MUITO BOM / ÓTIMO</c:v>
                </c:pt>
                <c:pt idx="1">
                  <c:v>BOM</c:v>
                </c:pt>
                <c:pt idx="2">
                  <c:v>RUIM / REGULAR</c:v>
                </c:pt>
                <c:pt idx="3">
                  <c:v>NÃO SE APLICA / NÃO SEI</c:v>
                </c:pt>
              </c:strCache>
            </c:strRef>
          </c:cat>
          <c:val>
            <c:numRef>
              <c:f>'Dashboard-1-AVALIAÇÃO INST.'!$U$214:$U$217</c:f>
              <c:numCache>
                <c:formatCode>0%</c:formatCode>
                <c:ptCount val="4"/>
                <c:pt idx="0">
                  <c:v>0.22330097087378642</c:v>
                </c:pt>
                <c:pt idx="1">
                  <c:v>0.10679611650485436</c:v>
                </c:pt>
                <c:pt idx="2">
                  <c:v>0.1553398058252427</c:v>
                </c:pt>
                <c:pt idx="3">
                  <c:v>0.5145631067961165</c:v>
                </c:pt>
              </c:numCache>
            </c:numRef>
          </c:val>
          <c:extLst>
            <c:ext xmlns:c16="http://schemas.microsoft.com/office/drawing/2014/chart" uri="{C3380CC4-5D6E-409C-BE32-E72D297353CC}">
              <c16:uniqueId val="{00000000-E5CB-481D-8E4C-788C199D04E4}"/>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'D9'!$J$28:$J$31</c:f>
              <c:numCache>
                <c:formatCode>0%</c:formatCode>
                <c:ptCount val="4"/>
                <c:pt idx="0">
                  <c:v>0.875</c:v>
                </c:pt>
                <c:pt idx="1">
                  <c:v>0</c:v>
                </c:pt>
                <c:pt idx="2">
                  <c:v>0</c:v>
                </c:pt>
                <c:pt idx="3">
                  <c:v>0.125</c:v>
                </c:pt>
              </c:numCache>
            </c:numRef>
          </c:val>
          <c:extLst>
            <c:ext xmlns:c16="http://schemas.microsoft.com/office/drawing/2014/chart" uri="{C3380CC4-5D6E-409C-BE32-E72D297353CC}">
              <c16:uniqueId val="{00000000-FF0D-4D57-A7F3-84A04C84EED4}"/>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'D10'!$J$28:$J$31</c:f>
              <c:numCache>
                <c:formatCode>0%</c:formatCode>
                <c:ptCount val="4"/>
                <c:pt idx="0">
                  <c:v>1</c:v>
                </c:pt>
                <c:pt idx="1">
                  <c:v>0</c:v>
                </c:pt>
                <c:pt idx="2">
                  <c:v>0</c:v>
                </c:pt>
                <c:pt idx="3">
                  <c:v>0</c:v>
                </c:pt>
              </c:numCache>
            </c:numRef>
          </c:val>
          <c:extLst>
            <c:ext xmlns:c16="http://schemas.microsoft.com/office/drawing/2014/chart" uri="{C3380CC4-5D6E-409C-BE32-E72D297353CC}">
              <c16:uniqueId val="{00000000-295D-4EE7-9D12-7D5A60FB1492}"/>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'D12'!$J$28:$J$31</c:f>
              <c:numCache>
                <c:formatCode>0%</c:formatCode>
                <c:ptCount val="4"/>
                <c:pt idx="0">
                  <c:v>1</c:v>
                </c:pt>
                <c:pt idx="1">
                  <c:v>0</c:v>
                </c:pt>
                <c:pt idx="2">
                  <c:v>0</c:v>
                </c:pt>
                <c:pt idx="3">
                  <c:v>0</c:v>
                </c:pt>
              </c:numCache>
            </c:numRef>
          </c:val>
          <c:extLst>
            <c:ext xmlns:c16="http://schemas.microsoft.com/office/drawing/2014/chart" uri="{C3380CC4-5D6E-409C-BE32-E72D297353CC}">
              <c16:uniqueId val="{00000000-DFA2-4D9B-BD5E-E77DC06A7049}"/>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'D13'!$J$28:$J$31</c:f>
              <c:numCache>
                <c:formatCode>0%</c:formatCode>
                <c:ptCount val="4"/>
                <c:pt idx="0">
                  <c:v>0.93333333333333335</c:v>
                </c:pt>
                <c:pt idx="1">
                  <c:v>6.6666666666666666E-2</c:v>
                </c:pt>
                <c:pt idx="2">
                  <c:v>0</c:v>
                </c:pt>
                <c:pt idx="3">
                  <c:v>0</c:v>
                </c:pt>
              </c:numCache>
            </c:numRef>
          </c:val>
          <c:extLst>
            <c:ext xmlns:c16="http://schemas.microsoft.com/office/drawing/2014/chart" uri="{C3380CC4-5D6E-409C-BE32-E72D297353CC}">
              <c16:uniqueId val="{00000000-4805-4C8E-BF16-86D5BA756979}"/>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'D3'!$J$28:$J$31</c:f>
              <c:numCache>
                <c:formatCode>0%</c:formatCode>
                <c:ptCount val="4"/>
                <c:pt idx="0">
                  <c:v>1</c:v>
                </c:pt>
                <c:pt idx="1">
                  <c:v>0</c:v>
                </c:pt>
                <c:pt idx="2">
                  <c:v>0</c:v>
                </c:pt>
                <c:pt idx="3">
                  <c:v>0</c:v>
                </c:pt>
              </c:numCache>
            </c:numRef>
          </c:val>
          <c:extLst>
            <c:ext xmlns:c16="http://schemas.microsoft.com/office/drawing/2014/chart" uri="{C3380CC4-5D6E-409C-BE32-E72D297353CC}">
              <c16:uniqueId val="{00000000-6F0C-4350-AEEC-50BE7BBA64CF}"/>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'D5'!$J$28:$J$31</c:f>
              <c:numCache>
                <c:formatCode>0%</c:formatCode>
                <c:ptCount val="4"/>
                <c:pt idx="0">
                  <c:v>1</c:v>
                </c:pt>
                <c:pt idx="1">
                  <c:v>0</c:v>
                </c:pt>
                <c:pt idx="2">
                  <c:v>0</c:v>
                </c:pt>
                <c:pt idx="3">
                  <c:v>0</c:v>
                </c:pt>
              </c:numCache>
            </c:numRef>
          </c:val>
          <c:extLst>
            <c:ext xmlns:c16="http://schemas.microsoft.com/office/drawing/2014/chart" uri="{C3380CC4-5D6E-409C-BE32-E72D297353CC}">
              <c16:uniqueId val="{00000000-FDBD-4CE5-B426-D0B2B8166E48}"/>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'D6'!$J$28:$J$31</c:f>
              <c:numCache>
                <c:formatCode>0%</c:formatCode>
                <c:ptCount val="4"/>
                <c:pt idx="0">
                  <c:v>1</c:v>
                </c:pt>
                <c:pt idx="1">
                  <c:v>0</c:v>
                </c:pt>
                <c:pt idx="2">
                  <c:v>0</c:v>
                </c:pt>
                <c:pt idx="3">
                  <c:v>0</c:v>
                </c:pt>
              </c:numCache>
            </c:numRef>
          </c:val>
          <c:extLst>
            <c:ext xmlns:c16="http://schemas.microsoft.com/office/drawing/2014/chart" uri="{C3380CC4-5D6E-409C-BE32-E72D297353CC}">
              <c16:uniqueId val="{00000000-D21B-40FD-98B9-6B77CD8CB63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'D7'!$J$28:$J$31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03A5-42BA-B8B7-5B01C488A69E}"/>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'D11'!$J$28:$J$31</c:f>
              <c:numCache>
                <c:formatCode>0%</c:formatCode>
                <c:ptCount val="4"/>
                <c:pt idx="0">
                  <c:v>1</c:v>
                </c:pt>
                <c:pt idx="1">
                  <c:v>0</c:v>
                </c:pt>
                <c:pt idx="2">
                  <c:v>0</c:v>
                </c:pt>
                <c:pt idx="3">
                  <c:v>0</c:v>
                </c:pt>
              </c:numCache>
            </c:numRef>
          </c:val>
          <c:extLst>
            <c:ext xmlns:c16="http://schemas.microsoft.com/office/drawing/2014/chart" uri="{C3380CC4-5D6E-409C-BE32-E72D297353CC}">
              <c16:uniqueId val="{00000000-8B0D-4BBB-9636-0A23594886E0}"/>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'D4'!$K$28:$K$31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BE6B-4650-8495-DEF6D887D9B1}"/>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16 - </a:t>
            </a:r>
            <a:r>
              <a:rPr lang="pt-BR" sz="1200" b="0" i="0" u="none" strike="noStrike" cap="none" baseline="0">
                <a:effectLst/>
              </a:rPr>
              <a:t>Você conhece/ia o planejamento orçamentário e o acompanhamento da execução relativos ao PROEX no PGMAT ?</a:t>
            </a:r>
            <a:endParaRPr lang="pt-BR" sz="1200"/>
          </a:p>
        </c:rich>
      </c:tx>
      <c:layout>
        <c:manualLayout>
          <c:xMode val="edge"/>
          <c:yMode val="edge"/>
          <c:x val="0.17123025880083412"/>
          <c:y val="2.5072603270717402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INST.'!$D$235:$D$238</c:f>
              <c:strCache>
                <c:ptCount val="4"/>
                <c:pt idx="0">
                  <c:v>MUITO BOM / ÓTIMO</c:v>
                </c:pt>
                <c:pt idx="1">
                  <c:v>BOM</c:v>
                </c:pt>
                <c:pt idx="2">
                  <c:v>RUIM / REGULAR</c:v>
                </c:pt>
                <c:pt idx="3">
                  <c:v>NÃO SE APLICA / NÃO SEI</c:v>
                </c:pt>
              </c:strCache>
            </c:strRef>
          </c:cat>
          <c:val>
            <c:numRef>
              <c:f>'Dashboard-1-AVALIAÇÃO INST.'!$F$235:$F$238</c:f>
              <c:numCache>
                <c:formatCode>0%</c:formatCode>
                <c:ptCount val="4"/>
                <c:pt idx="0">
                  <c:v>0.75555555555555554</c:v>
                </c:pt>
                <c:pt idx="1">
                  <c:v>4.4444444444444446E-2</c:v>
                </c:pt>
                <c:pt idx="2">
                  <c:v>0.1111111111111111</c:v>
                </c:pt>
                <c:pt idx="3">
                  <c:v>8.8888888888888892E-2</c:v>
                </c:pt>
              </c:numCache>
            </c:numRef>
          </c:val>
          <c:extLst>
            <c:ext xmlns:c16="http://schemas.microsoft.com/office/drawing/2014/chart" uri="{C3380CC4-5D6E-409C-BE32-E72D297353CC}">
              <c16:uniqueId val="{00000000-BEEF-4E63-9662-748AE0112F0C}"/>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EF-4E63-9662-748AE0112F0C}"/>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EF-4E63-9662-748AE0112F0C}"/>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EF-4E63-9662-748AE0112F0C}"/>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EF-4E63-9662-748AE0112F0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INST.'!$D$235:$D$238</c:f>
              <c:strCache>
                <c:ptCount val="4"/>
                <c:pt idx="0">
                  <c:v>MUITO BOM / ÓTIMO</c:v>
                </c:pt>
                <c:pt idx="1">
                  <c:v>BOM</c:v>
                </c:pt>
                <c:pt idx="2">
                  <c:v>RUIM / REGULAR</c:v>
                </c:pt>
                <c:pt idx="3">
                  <c:v>NÃO SE APLICA / NÃO SEI</c:v>
                </c:pt>
              </c:strCache>
            </c:strRef>
          </c:cat>
          <c:val>
            <c:numRef>
              <c:f>'Dashboard-1-AVALIAÇÃO INST.'!$E$235:$E$238</c:f>
              <c:numCache>
                <c:formatCode>0%</c:formatCode>
                <c:ptCount val="4"/>
                <c:pt idx="0">
                  <c:v>0.77586206896551724</c:v>
                </c:pt>
                <c:pt idx="1">
                  <c:v>6.8965517241379309E-2</c:v>
                </c:pt>
                <c:pt idx="2">
                  <c:v>3.4482758620689655E-2</c:v>
                </c:pt>
                <c:pt idx="3">
                  <c:v>0.1206896551724138</c:v>
                </c:pt>
              </c:numCache>
            </c:numRef>
          </c:val>
          <c:extLst>
            <c:ext xmlns:c16="http://schemas.microsoft.com/office/drawing/2014/chart" uri="{C3380CC4-5D6E-409C-BE32-E72D297353CC}">
              <c16:uniqueId val="{00000005-BEEF-4E63-9662-748AE0112F0C}"/>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'D8'!$K$28:$K$31</c:f>
              <c:numCache>
                <c:formatCode>0%</c:formatCode>
                <c:ptCount val="4"/>
                <c:pt idx="0">
                  <c:v>1</c:v>
                </c:pt>
                <c:pt idx="1">
                  <c:v>0</c:v>
                </c:pt>
                <c:pt idx="2">
                  <c:v>0</c:v>
                </c:pt>
                <c:pt idx="3">
                  <c:v>0</c:v>
                </c:pt>
              </c:numCache>
            </c:numRef>
          </c:val>
          <c:extLst>
            <c:ext xmlns:c16="http://schemas.microsoft.com/office/drawing/2014/chart" uri="{C3380CC4-5D6E-409C-BE32-E72D297353CC}">
              <c16:uniqueId val="{00000000-9662-415A-AC9E-CE55A47AC353}"/>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'D9'!$K$28:$K$31</c:f>
              <c:numCache>
                <c:formatCode>0%</c:formatCode>
                <c:ptCount val="4"/>
                <c:pt idx="0">
                  <c:v>0.625</c:v>
                </c:pt>
                <c:pt idx="1">
                  <c:v>0.125</c:v>
                </c:pt>
                <c:pt idx="2">
                  <c:v>0.125</c:v>
                </c:pt>
                <c:pt idx="3">
                  <c:v>0.125</c:v>
                </c:pt>
              </c:numCache>
            </c:numRef>
          </c:val>
          <c:extLst>
            <c:ext xmlns:c16="http://schemas.microsoft.com/office/drawing/2014/chart" uri="{C3380CC4-5D6E-409C-BE32-E72D297353CC}">
              <c16:uniqueId val="{00000000-5FF0-48B6-A6BD-97528252642C}"/>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'D10'!$K$28:$K$31</c:f>
              <c:numCache>
                <c:formatCode>0%</c:formatCode>
                <c:ptCount val="4"/>
                <c:pt idx="0">
                  <c:v>1</c:v>
                </c:pt>
                <c:pt idx="1">
                  <c:v>0</c:v>
                </c:pt>
                <c:pt idx="2">
                  <c:v>0</c:v>
                </c:pt>
                <c:pt idx="3">
                  <c:v>0</c:v>
                </c:pt>
              </c:numCache>
            </c:numRef>
          </c:val>
          <c:extLst>
            <c:ext xmlns:c16="http://schemas.microsoft.com/office/drawing/2014/chart" uri="{C3380CC4-5D6E-409C-BE32-E72D297353CC}">
              <c16:uniqueId val="{00000000-422F-4CAE-ADF0-2B6E181C1171}"/>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'D12'!$K$28:$K$31</c:f>
              <c:numCache>
                <c:formatCode>0%</c:formatCode>
                <c:ptCount val="4"/>
                <c:pt idx="0">
                  <c:v>1</c:v>
                </c:pt>
                <c:pt idx="1">
                  <c:v>0</c:v>
                </c:pt>
                <c:pt idx="2">
                  <c:v>0</c:v>
                </c:pt>
                <c:pt idx="3">
                  <c:v>0</c:v>
                </c:pt>
              </c:numCache>
            </c:numRef>
          </c:val>
          <c:extLst>
            <c:ext xmlns:c16="http://schemas.microsoft.com/office/drawing/2014/chart" uri="{C3380CC4-5D6E-409C-BE32-E72D297353CC}">
              <c16:uniqueId val="{00000000-88D4-49FA-8AD6-1CFEF6EE2A3D}"/>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'D13'!$K$28:$K$31</c:f>
              <c:numCache>
                <c:formatCode>0%</c:formatCode>
                <c:ptCount val="4"/>
                <c:pt idx="0">
                  <c:v>1</c:v>
                </c:pt>
                <c:pt idx="1">
                  <c:v>0</c:v>
                </c:pt>
                <c:pt idx="2">
                  <c:v>0</c:v>
                </c:pt>
                <c:pt idx="3">
                  <c:v>0</c:v>
                </c:pt>
              </c:numCache>
            </c:numRef>
          </c:val>
          <c:extLst>
            <c:ext xmlns:c16="http://schemas.microsoft.com/office/drawing/2014/chart" uri="{C3380CC4-5D6E-409C-BE32-E72D297353CC}">
              <c16:uniqueId val="{00000000-D464-4C6F-8ED5-DE095FDDF1C4}"/>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'D3'!$K$28:$K$31</c:f>
              <c:numCache>
                <c:formatCode>0%</c:formatCode>
                <c:ptCount val="4"/>
                <c:pt idx="0">
                  <c:v>1</c:v>
                </c:pt>
                <c:pt idx="1">
                  <c:v>0</c:v>
                </c:pt>
                <c:pt idx="2">
                  <c:v>0</c:v>
                </c:pt>
                <c:pt idx="3">
                  <c:v>0</c:v>
                </c:pt>
              </c:numCache>
            </c:numRef>
          </c:val>
          <c:extLst>
            <c:ext xmlns:c16="http://schemas.microsoft.com/office/drawing/2014/chart" uri="{C3380CC4-5D6E-409C-BE32-E72D297353CC}">
              <c16:uniqueId val="{00000000-AC4D-4C54-948A-9979966D9A5F}"/>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'D5'!$K$28:$K$31</c:f>
              <c:numCache>
                <c:formatCode>0%</c:formatCode>
                <c:ptCount val="4"/>
                <c:pt idx="0">
                  <c:v>1</c:v>
                </c:pt>
                <c:pt idx="1">
                  <c:v>0</c:v>
                </c:pt>
                <c:pt idx="2">
                  <c:v>0</c:v>
                </c:pt>
                <c:pt idx="3">
                  <c:v>0</c:v>
                </c:pt>
              </c:numCache>
            </c:numRef>
          </c:val>
          <c:extLst>
            <c:ext xmlns:c16="http://schemas.microsoft.com/office/drawing/2014/chart" uri="{C3380CC4-5D6E-409C-BE32-E72D297353CC}">
              <c16:uniqueId val="{00000000-D97A-4789-831D-7D370C36FA8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'D6'!$K$28:$K$31</c:f>
              <c:numCache>
                <c:formatCode>0%</c:formatCode>
                <c:ptCount val="4"/>
                <c:pt idx="0">
                  <c:v>1</c:v>
                </c:pt>
                <c:pt idx="1">
                  <c:v>0</c:v>
                </c:pt>
                <c:pt idx="2">
                  <c:v>0</c:v>
                </c:pt>
                <c:pt idx="3">
                  <c:v>0</c:v>
                </c:pt>
              </c:numCache>
            </c:numRef>
          </c:val>
          <c:extLst>
            <c:ext xmlns:c16="http://schemas.microsoft.com/office/drawing/2014/chart" uri="{C3380CC4-5D6E-409C-BE32-E72D297353CC}">
              <c16:uniqueId val="{00000000-4C17-437A-B4AE-740784B5FE0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'D7'!$K$28:$K$31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F92C-4C11-8D27-EAFE53F655AE}"/>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'D11'!$K$28:$K$31</c:f>
              <c:numCache>
                <c:formatCode>0%</c:formatCode>
                <c:ptCount val="4"/>
                <c:pt idx="0">
                  <c:v>1</c:v>
                </c:pt>
                <c:pt idx="1">
                  <c:v>0</c:v>
                </c:pt>
                <c:pt idx="2">
                  <c:v>0</c:v>
                </c:pt>
                <c:pt idx="3">
                  <c:v>0</c:v>
                </c:pt>
              </c:numCache>
            </c:numRef>
          </c:val>
          <c:extLst>
            <c:ext xmlns:c16="http://schemas.microsoft.com/office/drawing/2014/chart" uri="{C3380CC4-5D6E-409C-BE32-E72D297353CC}">
              <c16:uniqueId val="{00000000-5435-4FF5-A9E0-3730F05E4F56}"/>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16</a:t>
            </a:r>
            <a:r>
              <a:rPr lang="pt-BR" baseline="0"/>
              <a:t> - Você conhece/ia o planejamento orçamentário e o acompanhamento da execução relativos ao PROEX no PGMAT ?</a:t>
            </a:r>
            <a:endParaRPr lang="pt-BR"/>
          </a:p>
        </c:rich>
      </c:tx>
      <c:layout>
        <c:manualLayout>
          <c:xMode val="edge"/>
          <c:yMode val="edge"/>
          <c:x val="0.1442816889484306"/>
          <c:y val="2.55012835598499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INST.'!$T$235:$T$238</c:f>
              <c:strCache>
                <c:ptCount val="4"/>
                <c:pt idx="0">
                  <c:v>MUITO BOM / ÓTIMO</c:v>
                </c:pt>
                <c:pt idx="1">
                  <c:v>BOM</c:v>
                </c:pt>
                <c:pt idx="2">
                  <c:v>RUIM / REGULAR</c:v>
                </c:pt>
                <c:pt idx="3">
                  <c:v>NÃO SE APLICA / NÃO SEI</c:v>
                </c:pt>
              </c:strCache>
            </c:strRef>
          </c:cat>
          <c:val>
            <c:numRef>
              <c:f>'Dashboard-1-AVALIAÇÃO INST.'!$U$235:$U$238</c:f>
              <c:numCache>
                <c:formatCode>0%</c:formatCode>
                <c:ptCount val="4"/>
                <c:pt idx="0">
                  <c:v>0.76699029126213591</c:v>
                </c:pt>
                <c:pt idx="1">
                  <c:v>5.8252427184466021E-2</c:v>
                </c:pt>
                <c:pt idx="2">
                  <c:v>6.7961165048543687E-2</c:v>
                </c:pt>
                <c:pt idx="3">
                  <c:v>0.10679611650485436</c:v>
                </c:pt>
              </c:numCache>
            </c:numRef>
          </c:val>
          <c:extLst>
            <c:ext xmlns:c16="http://schemas.microsoft.com/office/drawing/2014/chart" uri="{C3380CC4-5D6E-409C-BE32-E72D297353CC}">
              <c16:uniqueId val="{00000000-CF71-4677-9B79-880266FEA4F5}"/>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CD8D-4EC6-B664-E276338ED86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ECA8-42AA-9843-9F4162AFC280}"/>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'D9'!$L$28:$L$31</c:f>
              <c:numCache>
                <c:formatCode>0%</c:formatCode>
                <c:ptCount val="4"/>
                <c:pt idx="0">
                  <c:v>0.875</c:v>
                </c:pt>
                <c:pt idx="1">
                  <c:v>0</c:v>
                </c:pt>
                <c:pt idx="2">
                  <c:v>0</c:v>
                </c:pt>
                <c:pt idx="3">
                  <c:v>0.125</c:v>
                </c:pt>
              </c:numCache>
            </c:numRef>
          </c:val>
          <c:extLst>
            <c:ext xmlns:c16="http://schemas.microsoft.com/office/drawing/2014/chart" uri="{C3380CC4-5D6E-409C-BE32-E72D297353CC}">
              <c16:uniqueId val="{00000000-24A9-422D-8B24-F93E346E1236}"/>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6225-472E-960F-CBBC9FE3F991}"/>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7B0E-49A9-A13F-D9333949ED83}"/>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5F79-4553-9BBF-41A7045A5AF3}"/>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76A4-4A9A-841A-BBF520554456}"/>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B899-432C-BBEA-215E378E5D1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FCA2-4730-BFAE-ACAAD0DA38A6}"/>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'D7'!$L$28:$L$31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006A-4D6F-B6D3-7C46FEA30CEF}"/>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cap="none" spc="50" baseline="0">
                <a:solidFill>
                  <a:schemeClr val="tx1">
                    <a:lumMod val="65000"/>
                    <a:lumOff val="35000"/>
                  </a:schemeClr>
                </a:solidFill>
                <a:latin typeface="+mn-lt"/>
                <a:ea typeface="+mn-ea"/>
                <a:cs typeface="+mn-cs"/>
              </a:defRPr>
            </a:pPr>
            <a:r>
              <a:rPr lang="pt-BR" sz="1050"/>
              <a:t>QUESTÃO 17 - As informações do PGMAT (editais de seleção, mecanismos de transparência, resultados de avaliação, atas de reuniões, entre outros) têm sido acessíveis à comunidade EXTERNA ao Programa ?</a:t>
            </a:r>
          </a:p>
        </c:rich>
      </c:tx>
      <c:layout>
        <c:manualLayout>
          <c:xMode val="edge"/>
          <c:yMode val="edge"/>
          <c:x val="0.16593724607293039"/>
          <c:y val="2.5072539166920444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INST.'!$D$254:$D$257</c:f>
              <c:strCache>
                <c:ptCount val="4"/>
                <c:pt idx="0">
                  <c:v>MUITO BOM / ÓTIMO</c:v>
                </c:pt>
                <c:pt idx="1">
                  <c:v>BOM</c:v>
                </c:pt>
                <c:pt idx="2">
                  <c:v>RUIM / REGULAR</c:v>
                </c:pt>
                <c:pt idx="3">
                  <c:v>NÃO SE APLICA / NÃO SEI</c:v>
                </c:pt>
              </c:strCache>
            </c:strRef>
          </c:cat>
          <c:val>
            <c:numRef>
              <c:f>'Dashboard-1-AVALIAÇÃO INST.'!$F$254:$F$257</c:f>
              <c:numCache>
                <c:formatCode>0%</c:formatCode>
                <c:ptCount val="4"/>
                <c:pt idx="0">
                  <c:v>0.73333333333333328</c:v>
                </c:pt>
                <c:pt idx="1">
                  <c:v>0.1111111111111111</c:v>
                </c:pt>
                <c:pt idx="2">
                  <c:v>4.4444444444444446E-2</c:v>
                </c:pt>
                <c:pt idx="3">
                  <c:v>0.1111111111111111</c:v>
                </c:pt>
              </c:numCache>
            </c:numRef>
          </c:val>
          <c:extLst>
            <c:ext xmlns:c16="http://schemas.microsoft.com/office/drawing/2014/chart" uri="{C3380CC4-5D6E-409C-BE32-E72D297353CC}">
              <c16:uniqueId val="{00000000-119D-4CE7-A989-0EB6249E960F}"/>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9D-4CE7-A989-0EB6249E960F}"/>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9D-4CE7-A989-0EB6249E960F}"/>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9D-4CE7-A989-0EB6249E960F}"/>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9D-4CE7-A989-0EB6249E960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INST.'!$D$254:$D$257</c:f>
              <c:strCache>
                <c:ptCount val="4"/>
                <c:pt idx="0">
                  <c:v>MUITO BOM / ÓTIMO</c:v>
                </c:pt>
                <c:pt idx="1">
                  <c:v>BOM</c:v>
                </c:pt>
                <c:pt idx="2">
                  <c:v>RUIM / REGULAR</c:v>
                </c:pt>
                <c:pt idx="3">
                  <c:v>NÃO SE APLICA / NÃO SEI</c:v>
                </c:pt>
              </c:strCache>
            </c:strRef>
          </c:cat>
          <c:val>
            <c:numRef>
              <c:f>'Dashboard-1-AVALIAÇÃO INST.'!$E$254:$E$257</c:f>
              <c:numCache>
                <c:formatCode>0%</c:formatCode>
                <c:ptCount val="4"/>
                <c:pt idx="0">
                  <c:v>0.60344827586206895</c:v>
                </c:pt>
                <c:pt idx="1">
                  <c:v>0.10344827586206896</c:v>
                </c:pt>
                <c:pt idx="2">
                  <c:v>0.12068965517241378</c:v>
                </c:pt>
                <c:pt idx="3">
                  <c:v>0.17241379310344829</c:v>
                </c:pt>
              </c:numCache>
            </c:numRef>
          </c:val>
          <c:extLst>
            <c:ext xmlns:c16="http://schemas.microsoft.com/office/drawing/2014/chart" uri="{C3380CC4-5D6E-409C-BE32-E72D297353CC}">
              <c16:uniqueId val="{00000005-119D-4CE7-A989-0EB6249E960F}"/>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'D11'!$L$28:$L$31</c:f>
              <c:numCache>
                <c:formatCode>0%</c:formatCode>
                <c:ptCount val="4"/>
                <c:pt idx="0">
                  <c:v>1</c:v>
                </c:pt>
                <c:pt idx="1">
                  <c:v>0</c:v>
                </c:pt>
                <c:pt idx="2">
                  <c:v>0</c:v>
                </c:pt>
                <c:pt idx="3">
                  <c:v>0</c:v>
                </c:pt>
              </c:numCache>
            </c:numRef>
          </c:val>
          <c:extLst>
            <c:ext xmlns:c16="http://schemas.microsoft.com/office/drawing/2014/chart" uri="{C3380CC4-5D6E-409C-BE32-E72D297353CC}">
              <c16:uniqueId val="{00000000-8AA8-4B0F-8867-FFAF02EE0C79}"/>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'D4'!$M$28:$M$31</c:f>
              <c:numCache>
                <c:formatCode>0%</c:formatCode>
                <c:ptCount val="4"/>
                <c:pt idx="0">
                  <c:v>0.75</c:v>
                </c:pt>
                <c:pt idx="1">
                  <c:v>0</c:v>
                </c:pt>
                <c:pt idx="2">
                  <c:v>0.25</c:v>
                </c:pt>
                <c:pt idx="3">
                  <c:v>0</c:v>
                </c:pt>
              </c:numCache>
            </c:numRef>
          </c:val>
          <c:extLst>
            <c:ext xmlns:c16="http://schemas.microsoft.com/office/drawing/2014/chart" uri="{C3380CC4-5D6E-409C-BE32-E72D297353CC}">
              <c16:uniqueId val="{00000000-4BD6-4518-8D4A-6C0D6A53843C}"/>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'D8'!$M$28:$M$31</c:f>
              <c:numCache>
                <c:formatCode>0%</c:formatCode>
                <c:ptCount val="4"/>
                <c:pt idx="0">
                  <c:v>1</c:v>
                </c:pt>
                <c:pt idx="1">
                  <c:v>0</c:v>
                </c:pt>
                <c:pt idx="2">
                  <c:v>0</c:v>
                </c:pt>
                <c:pt idx="3">
                  <c:v>0</c:v>
                </c:pt>
              </c:numCache>
            </c:numRef>
          </c:val>
          <c:extLst>
            <c:ext xmlns:c16="http://schemas.microsoft.com/office/drawing/2014/chart" uri="{C3380CC4-5D6E-409C-BE32-E72D297353CC}">
              <c16:uniqueId val="{00000000-CD97-4E99-8806-DD127E9DBD51}"/>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'D9'!$M$28:$M$31</c:f>
              <c:numCache>
                <c:formatCode>0%</c:formatCode>
                <c:ptCount val="4"/>
                <c:pt idx="0">
                  <c:v>0.75</c:v>
                </c:pt>
                <c:pt idx="1">
                  <c:v>0</c:v>
                </c:pt>
                <c:pt idx="2">
                  <c:v>0.125</c:v>
                </c:pt>
                <c:pt idx="3">
                  <c:v>0.125</c:v>
                </c:pt>
              </c:numCache>
            </c:numRef>
          </c:val>
          <c:extLst>
            <c:ext xmlns:c16="http://schemas.microsoft.com/office/drawing/2014/chart" uri="{C3380CC4-5D6E-409C-BE32-E72D297353CC}">
              <c16:uniqueId val="{00000000-6DFD-4944-A27C-7E6B46AF1FBA}"/>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'D10'!$M$28:$M$31</c:f>
              <c:numCache>
                <c:formatCode>0%</c:formatCode>
                <c:ptCount val="4"/>
                <c:pt idx="0">
                  <c:v>1</c:v>
                </c:pt>
                <c:pt idx="1">
                  <c:v>0</c:v>
                </c:pt>
                <c:pt idx="2">
                  <c:v>0</c:v>
                </c:pt>
                <c:pt idx="3">
                  <c:v>0</c:v>
                </c:pt>
              </c:numCache>
            </c:numRef>
          </c:val>
          <c:extLst>
            <c:ext xmlns:c16="http://schemas.microsoft.com/office/drawing/2014/chart" uri="{C3380CC4-5D6E-409C-BE32-E72D297353CC}">
              <c16:uniqueId val="{00000000-D981-440A-A9DB-BE2DD5DFF09C}"/>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'D12'!$M$28:$M$31</c:f>
              <c:numCache>
                <c:formatCode>0%</c:formatCode>
                <c:ptCount val="4"/>
                <c:pt idx="0">
                  <c:v>1</c:v>
                </c:pt>
                <c:pt idx="1">
                  <c:v>0</c:v>
                </c:pt>
                <c:pt idx="2">
                  <c:v>0</c:v>
                </c:pt>
                <c:pt idx="3">
                  <c:v>0</c:v>
                </c:pt>
              </c:numCache>
            </c:numRef>
          </c:val>
          <c:extLst>
            <c:ext xmlns:c16="http://schemas.microsoft.com/office/drawing/2014/chart" uri="{C3380CC4-5D6E-409C-BE32-E72D297353CC}">
              <c16:uniqueId val="{00000000-2BF9-4A18-975F-F98D374DB994}"/>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'D13'!$M$28:$M$31</c:f>
              <c:numCache>
                <c:formatCode>0%</c:formatCode>
                <c:ptCount val="4"/>
                <c:pt idx="0">
                  <c:v>0.93333333333333335</c:v>
                </c:pt>
                <c:pt idx="1">
                  <c:v>0</c:v>
                </c:pt>
                <c:pt idx="2">
                  <c:v>6.6666666666666666E-2</c:v>
                </c:pt>
                <c:pt idx="3">
                  <c:v>0</c:v>
                </c:pt>
              </c:numCache>
            </c:numRef>
          </c:val>
          <c:extLst>
            <c:ext xmlns:c16="http://schemas.microsoft.com/office/drawing/2014/chart" uri="{C3380CC4-5D6E-409C-BE32-E72D297353CC}">
              <c16:uniqueId val="{00000000-C940-42CE-97B8-519FBA146A2B}"/>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'D3'!$M$28:$M$31</c:f>
              <c:numCache>
                <c:formatCode>0%</c:formatCode>
                <c:ptCount val="4"/>
                <c:pt idx="0">
                  <c:v>0.8</c:v>
                </c:pt>
                <c:pt idx="1">
                  <c:v>0.2</c:v>
                </c:pt>
                <c:pt idx="2">
                  <c:v>0</c:v>
                </c:pt>
                <c:pt idx="3">
                  <c:v>0</c:v>
                </c:pt>
              </c:numCache>
            </c:numRef>
          </c:val>
          <c:extLst>
            <c:ext xmlns:c16="http://schemas.microsoft.com/office/drawing/2014/chart" uri="{C3380CC4-5D6E-409C-BE32-E72D297353CC}">
              <c16:uniqueId val="{00000000-D7CB-497F-AAFB-0599A87C4788}"/>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'D5'!$M$28:$M$31</c:f>
              <c:numCache>
                <c:formatCode>0%</c:formatCode>
                <c:ptCount val="4"/>
                <c:pt idx="0">
                  <c:v>1</c:v>
                </c:pt>
                <c:pt idx="1">
                  <c:v>0</c:v>
                </c:pt>
                <c:pt idx="2">
                  <c:v>0</c:v>
                </c:pt>
                <c:pt idx="3">
                  <c:v>0</c:v>
                </c:pt>
              </c:numCache>
            </c:numRef>
          </c:val>
          <c:extLst>
            <c:ext xmlns:c16="http://schemas.microsoft.com/office/drawing/2014/chart" uri="{C3380CC4-5D6E-409C-BE32-E72D297353CC}">
              <c16:uniqueId val="{00000000-9345-4181-9673-441658392848}"/>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'D6'!$M$28:$M$31</c:f>
              <c:numCache>
                <c:formatCode>0%</c:formatCode>
                <c:ptCount val="4"/>
                <c:pt idx="0">
                  <c:v>1</c:v>
                </c:pt>
                <c:pt idx="1">
                  <c:v>0</c:v>
                </c:pt>
                <c:pt idx="2">
                  <c:v>0</c:v>
                </c:pt>
                <c:pt idx="3">
                  <c:v>0</c:v>
                </c:pt>
              </c:numCache>
            </c:numRef>
          </c:val>
          <c:extLst>
            <c:ext xmlns:c16="http://schemas.microsoft.com/office/drawing/2014/chart" uri="{C3380CC4-5D6E-409C-BE32-E72D297353CC}">
              <c16:uniqueId val="{00000000-716A-462A-831F-5F82A1E5D6E1}"/>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05</a:t>
            </a:r>
            <a:r>
              <a:rPr lang="pt-BR" baseline="0"/>
              <a:t> - </a:t>
            </a:r>
            <a:r>
              <a:rPr lang="pt-BR"/>
              <a:t>Você conhece/ia o Regimento do PGMAT (versão 2017) ?</a:t>
            </a: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INST.'!$T$17:$T$20</c:f>
              <c:strCache>
                <c:ptCount val="4"/>
                <c:pt idx="0">
                  <c:v>MUITO BOM / ÓTIMO</c:v>
                </c:pt>
                <c:pt idx="1">
                  <c:v>BOM</c:v>
                </c:pt>
                <c:pt idx="2">
                  <c:v>RUIM / REGULAR</c:v>
                </c:pt>
                <c:pt idx="3">
                  <c:v>NÃO SE APLICA / NÃO SEI</c:v>
                </c:pt>
              </c:strCache>
            </c:strRef>
          </c:cat>
          <c:val>
            <c:numRef>
              <c:f>'Dashboard-1-AVALIAÇÃO INST.'!$U$17:$U$20</c:f>
              <c:numCache>
                <c:formatCode>0%</c:formatCode>
                <c:ptCount val="4"/>
                <c:pt idx="0">
                  <c:v>0.59223300970873782</c:v>
                </c:pt>
                <c:pt idx="1">
                  <c:v>0.11650485436893204</c:v>
                </c:pt>
                <c:pt idx="2">
                  <c:v>7.7669902912621352E-2</c:v>
                </c:pt>
                <c:pt idx="3">
                  <c:v>0.21359223300970873</c:v>
                </c:pt>
              </c:numCache>
            </c:numRef>
          </c:val>
          <c:extLst>
            <c:ext xmlns:c16="http://schemas.microsoft.com/office/drawing/2014/chart" uri="{C3380CC4-5D6E-409C-BE32-E72D297353CC}">
              <c16:uniqueId val="{00000000-ABEC-4101-803C-B4AD96BA75D9}"/>
            </c:ext>
          </c:extLst>
        </c:ser>
        <c:dLbls>
          <c:showLegendKey val="0"/>
          <c:showVal val="1"/>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300"/>
              <a:t>17</a:t>
            </a:r>
            <a:r>
              <a:rPr lang="pt-BR" sz="1300" baseline="0"/>
              <a:t> - </a:t>
            </a:r>
            <a:r>
              <a:rPr lang="pt-BR" sz="1300" b="0" i="0" u="none" strike="noStrike" baseline="0">
                <a:effectLst/>
              </a:rPr>
              <a:t>As informações do PGMAT (editais de seleção, mecanismos de transparência, resultados de avaliação, atas de reuniões, entre outros) têm sido acessíveis à comunidade EXTERNA ao Programa ?</a:t>
            </a:r>
            <a:endParaRPr lang="pt-BR" sz="1300"/>
          </a:p>
        </c:rich>
      </c:tx>
      <c:layout>
        <c:manualLayout>
          <c:xMode val="edge"/>
          <c:yMode val="edge"/>
          <c:x val="0.1442816889484306"/>
          <c:y val="2.550128355984999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INST.'!$T$254:$T$257</c:f>
              <c:strCache>
                <c:ptCount val="4"/>
                <c:pt idx="0">
                  <c:v>MUITO BOM / ÓTIMO</c:v>
                </c:pt>
                <c:pt idx="1">
                  <c:v>BOM</c:v>
                </c:pt>
                <c:pt idx="2">
                  <c:v>RUIM / REGULAR</c:v>
                </c:pt>
                <c:pt idx="3">
                  <c:v>NÃO SE APLICA / NÃO SEI</c:v>
                </c:pt>
              </c:strCache>
            </c:strRef>
          </c:cat>
          <c:val>
            <c:numRef>
              <c:f>'Dashboard-1-AVALIAÇÃO INST.'!$U$254:$U$257</c:f>
              <c:numCache>
                <c:formatCode>0%</c:formatCode>
                <c:ptCount val="4"/>
                <c:pt idx="0">
                  <c:v>0.66019417475728159</c:v>
                </c:pt>
                <c:pt idx="1">
                  <c:v>0.10679611650485436</c:v>
                </c:pt>
                <c:pt idx="2">
                  <c:v>8.7378640776699018E-2</c:v>
                </c:pt>
                <c:pt idx="3">
                  <c:v>0.14563106796116504</c:v>
                </c:pt>
              </c:numCache>
            </c:numRef>
          </c:val>
          <c:extLst>
            <c:ext xmlns:c16="http://schemas.microsoft.com/office/drawing/2014/chart" uri="{C3380CC4-5D6E-409C-BE32-E72D297353CC}">
              <c16:uniqueId val="{00000000-587B-4530-847E-2ACC4154FCD7}"/>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'D7'!$M$28:$M$31</c:f>
              <c:numCache>
                <c:formatCode>0%</c:formatCode>
                <c:ptCount val="4"/>
                <c:pt idx="0">
                  <c:v>0.5</c:v>
                </c:pt>
                <c:pt idx="1">
                  <c:v>0.5</c:v>
                </c:pt>
                <c:pt idx="2">
                  <c:v>0</c:v>
                </c:pt>
                <c:pt idx="3">
                  <c:v>0</c:v>
                </c:pt>
              </c:numCache>
            </c:numRef>
          </c:val>
          <c:extLst>
            <c:ext xmlns:c16="http://schemas.microsoft.com/office/drawing/2014/chart" uri="{C3380CC4-5D6E-409C-BE32-E72D297353CC}">
              <c16:uniqueId val="{00000000-8D46-4651-B949-F059A85015E2}"/>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'D11'!$M$28:$M$31</c:f>
              <c:numCache>
                <c:formatCode>0%</c:formatCode>
                <c:ptCount val="4"/>
                <c:pt idx="0">
                  <c:v>1</c:v>
                </c:pt>
                <c:pt idx="1">
                  <c:v>0</c:v>
                </c:pt>
                <c:pt idx="2">
                  <c:v>0</c:v>
                </c:pt>
                <c:pt idx="3">
                  <c:v>0</c:v>
                </c:pt>
              </c:numCache>
            </c:numRef>
          </c:val>
          <c:extLst>
            <c:ext xmlns:c16="http://schemas.microsoft.com/office/drawing/2014/chart" uri="{C3380CC4-5D6E-409C-BE32-E72D297353CC}">
              <c16:uniqueId val="{00000000-A4FE-4747-ACB1-058DEBE200F9}"/>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F053-4698-B034-76A88DEA885B}"/>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9C00-4ABE-9C62-C96ED2EE51C6}"/>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'D9'!$N$28:$N$31</c:f>
              <c:numCache>
                <c:formatCode>0%</c:formatCode>
                <c:ptCount val="4"/>
                <c:pt idx="0">
                  <c:v>0.875</c:v>
                </c:pt>
                <c:pt idx="1">
                  <c:v>0</c:v>
                </c:pt>
                <c:pt idx="2">
                  <c:v>0</c:v>
                </c:pt>
                <c:pt idx="3">
                  <c:v>0.125</c:v>
                </c:pt>
              </c:numCache>
            </c:numRef>
          </c:val>
          <c:extLst>
            <c:ext xmlns:c16="http://schemas.microsoft.com/office/drawing/2014/chart" uri="{C3380CC4-5D6E-409C-BE32-E72D297353CC}">
              <c16:uniqueId val="{00000000-876E-4599-96E2-56E63F11E40B}"/>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DAAE-4F6F-AF88-98C59CDE1BA3}"/>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C1AA-4300-8390-700FBA0EE99B}"/>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8152-4907-BDB8-54292AAD593C}"/>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C52F-4B79-82A4-FD83CF33FED6}"/>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1C80-402E-A7AD-AE5FFAA220FF}"/>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cap="none" spc="50" baseline="0">
                <a:solidFill>
                  <a:schemeClr val="tx1">
                    <a:lumMod val="65000"/>
                    <a:lumOff val="35000"/>
                  </a:schemeClr>
                </a:solidFill>
                <a:latin typeface="+mn-lt"/>
                <a:ea typeface="+mn-ea"/>
                <a:cs typeface="+mn-cs"/>
              </a:defRPr>
            </a:pPr>
            <a:r>
              <a:rPr lang="pt-BR" sz="1050"/>
              <a:t>QUESTÃO 18 - As políticas do PGMAT em relação a apoios (participação em congressos e eventos científicos, missões de trabalho, revisão de artigos científicos em inglês, manutenção de equipamentos, atas de reuniões, entre outros) têm sido suficientes ?</a:t>
            </a:r>
          </a:p>
        </c:rich>
      </c:tx>
      <c:layout>
        <c:manualLayout>
          <c:xMode val="edge"/>
          <c:yMode val="edge"/>
          <c:x val="0.16593724607293039"/>
          <c:y val="2.5072539166920444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INST.'!$D$273:$D$276</c:f>
              <c:strCache>
                <c:ptCount val="4"/>
                <c:pt idx="0">
                  <c:v>MUITO BOM / ÓTIMO</c:v>
                </c:pt>
                <c:pt idx="1">
                  <c:v>BOM</c:v>
                </c:pt>
                <c:pt idx="2">
                  <c:v>RUIM / REGULAR</c:v>
                </c:pt>
                <c:pt idx="3">
                  <c:v>NÃO SE APLICA / NÃO SEI</c:v>
                </c:pt>
              </c:strCache>
            </c:strRef>
          </c:cat>
          <c:val>
            <c:numRef>
              <c:f>'Dashboard-1-AVALIAÇÃO INST.'!$F$273:$F$276</c:f>
              <c:numCache>
                <c:formatCode>0%</c:formatCode>
                <c:ptCount val="4"/>
                <c:pt idx="0">
                  <c:v>0.6</c:v>
                </c:pt>
                <c:pt idx="1">
                  <c:v>0.1111111111111111</c:v>
                </c:pt>
                <c:pt idx="2">
                  <c:v>0.15555555555555556</c:v>
                </c:pt>
                <c:pt idx="3">
                  <c:v>0.13333333333333333</c:v>
                </c:pt>
              </c:numCache>
            </c:numRef>
          </c:val>
          <c:extLst>
            <c:ext xmlns:c16="http://schemas.microsoft.com/office/drawing/2014/chart" uri="{C3380CC4-5D6E-409C-BE32-E72D297353CC}">
              <c16:uniqueId val="{00000000-23B7-4020-8EE9-C7956704AE17}"/>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B7-4020-8EE9-C7956704AE17}"/>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B7-4020-8EE9-C7956704AE17}"/>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B7-4020-8EE9-C7956704AE17}"/>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B7-4020-8EE9-C7956704AE1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INST.'!$D$273:$D$276</c:f>
              <c:strCache>
                <c:ptCount val="4"/>
                <c:pt idx="0">
                  <c:v>MUITO BOM / ÓTIMO</c:v>
                </c:pt>
                <c:pt idx="1">
                  <c:v>BOM</c:v>
                </c:pt>
                <c:pt idx="2">
                  <c:v>RUIM / REGULAR</c:v>
                </c:pt>
                <c:pt idx="3">
                  <c:v>NÃO SE APLICA / NÃO SEI</c:v>
                </c:pt>
              </c:strCache>
            </c:strRef>
          </c:cat>
          <c:val>
            <c:numRef>
              <c:f>'Dashboard-1-AVALIAÇÃO INST.'!$E$273:$E$276</c:f>
              <c:numCache>
                <c:formatCode>0%</c:formatCode>
                <c:ptCount val="4"/>
                <c:pt idx="0">
                  <c:v>0.56896551724137934</c:v>
                </c:pt>
                <c:pt idx="1">
                  <c:v>0.15517241379310345</c:v>
                </c:pt>
                <c:pt idx="2">
                  <c:v>0.15517241379310345</c:v>
                </c:pt>
                <c:pt idx="3">
                  <c:v>0.1206896551724138</c:v>
                </c:pt>
              </c:numCache>
            </c:numRef>
          </c:val>
          <c:extLst>
            <c:ext xmlns:c16="http://schemas.microsoft.com/office/drawing/2014/chart" uri="{C3380CC4-5D6E-409C-BE32-E72D297353CC}">
              <c16:uniqueId val="{00000005-23B7-4020-8EE9-C7956704AE17}"/>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73C1-4815-B874-AF601B811BE3}"/>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4EFB-4D99-BD6E-1EF056EAA042}"/>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'D11'!$N$28:$N$31</c:f>
              <c:numCache>
                <c:formatCode>0%</c:formatCode>
                <c:ptCount val="4"/>
                <c:pt idx="0">
                  <c:v>1</c:v>
                </c:pt>
                <c:pt idx="1">
                  <c:v>0</c:v>
                </c:pt>
                <c:pt idx="2">
                  <c:v>0</c:v>
                </c:pt>
                <c:pt idx="3">
                  <c:v>0</c:v>
                </c:pt>
              </c:numCache>
            </c:numRef>
          </c:val>
          <c:extLst>
            <c:ext xmlns:c16="http://schemas.microsoft.com/office/drawing/2014/chart" uri="{C3380CC4-5D6E-409C-BE32-E72D297353CC}">
              <c16:uniqueId val="{00000000-6EFD-4F6C-BC77-A48EEA7C05D6}"/>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'D4'!$O$28:$O$31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4EEB-4F4F-B9BF-627A8054A872}"/>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'D8'!$O$28:$O$31</c:f>
              <c:numCache>
                <c:formatCode>0%</c:formatCode>
                <c:ptCount val="4"/>
                <c:pt idx="0">
                  <c:v>1</c:v>
                </c:pt>
                <c:pt idx="1">
                  <c:v>0</c:v>
                </c:pt>
                <c:pt idx="2">
                  <c:v>0</c:v>
                </c:pt>
                <c:pt idx="3">
                  <c:v>0</c:v>
                </c:pt>
              </c:numCache>
            </c:numRef>
          </c:val>
          <c:extLst>
            <c:ext xmlns:c16="http://schemas.microsoft.com/office/drawing/2014/chart" uri="{C3380CC4-5D6E-409C-BE32-E72D297353CC}">
              <c16:uniqueId val="{00000000-6E81-490F-B30E-7CC3323AE1FA}"/>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'D9'!$O$28:$O$31</c:f>
              <c:numCache>
                <c:formatCode>0%</c:formatCode>
                <c:ptCount val="4"/>
                <c:pt idx="0">
                  <c:v>0.5</c:v>
                </c:pt>
                <c:pt idx="1">
                  <c:v>0.25</c:v>
                </c:pt>
                <c:pt idx="2">
                  <c:v>0.125</c:v>
                </c:pt>
                <c:pt idx="3">
                  <c:v>0.125</c:v>
                </c:pt>
              </c:numCache>
            </c:numRef>
          </c:val>
          <c:extLst>
            <c:ext xmlns:c16="http://schemas.microsoft.com/office/drawing/2014/chart" uri="{C3380CC4-5D6E-409C-BE32-E72D297353CC}">
              <c16:uniqueId val="{00000000-B3CC-48E8-AB30-0F728283ADEF}"/>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'D10'!$O$28:$O$31</c:f>
              <c:numCache>
                <c:formatCode>0%</c:formatCode>
                <c:ptCount val="4"/>
                <c:pt idx="0">
                  <c:v>1</c:v>
                </c:pt>
                <c:pt idx="1">
                  <c:v>0</c:v>
                </c:pt>
                <c:pt idx="2">
                  <c:v>0</c:v>
                </c:pt>
                <c:pt idx="3">
                  <c:v>0</c:v>
                </c:pt>
              </c:numCache>
            </c:numRef>
          </c:val>
          <c:extLst>
            <c:ext xmlns:c16="http://schemas.microsoft.com/office/drawing/2014/chart" uri="{C3380CC4-5D6E-409C-BE32-E72D297353CC}">
              <c16:uniqueId val="{00000000-7C79-4D14-A8CD-7C56BA4B8A56}"/>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'D12'!$O$28:$O$31</c:f>
              <c:numCache>
                <c:formatCode>0%</c:formatCode>
                <c:ptCount val="4"/>
                <c:pt idx="0">
                  <c:v>1</c:v>
                </c:pt>
                <c:pt idx="1">
                  <c:v>0</c:v>
                </c:pt>
                <c:pt idx="2">
                  <c:v>0</c:v>
                </c:pt>
                <c:pt idx="3">
                  <c:v>0</c:v>
                </c:pt>
              </c:numCache>
            </c:numRef>
          </c:val>
          <c:extLst>
            <c:ext xmlns:c16="http://schemas.microsoft.com/office/drawing/2014/chart" uri="{C3380CC4-5D6E-409C-BE32-E72D297353CC}">
              <c16:uniqueId val="{00000000-44A4-47FB-AEB2-6228D38ABC9E}"/>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'D13'!$O$28:$O$31</c:f>
              <c:numCache>
                <c:formatCode>0%</c:formatCode>
                <c:ptCount val="4"/>
                <c:pt idx="0">
                  <c:v>1</c:v>
                </c:pt>
                <c:pt idx="1">
                  <c:v>0</c:v>
                </c:pt>
                <c:pt idx="2">
                  <c:v>0</c:v>
                </c:pt>
                <c:pt idx="3">
                  <c:v>0</c:v>
                </c:pt>
              </c:numCache>
            </c:numRef>
          </c:val>
          <c:extLst>
            <c:ext xmlns:c16="http://schemas.microsoft.com/office/drawing/2014/chart" uri="{C3380CC4-5D6E-409C-BE32-E72D297353CC}">
              <c16:uniqueId val="{00000000-8B44-47EE-AED9-C3FE0C13E1BA}"/>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'D3'!$O$28:$O$31</c:f>
              <c:numCache>
                <c:formatCode>0%</c:formatCode>
                <c:ptCount val="4"/>
                <c:pt idx="0">
                  <c:v>0.8</c:v>
                </c:pt>
                <c:pt idx="1">
                  <c:v>0.2</c:v>
                </c:pt>
                <c:pt idx="2">
                  <c:v>0</c:v>
                </c:pt>
                <c:pt idx="3">
                  <c:v>0</c:v>
                </c:pt>
              </c:numCache>
            </c:numRef>
          </c:val>
          <c:extLst>
            <c:ext xmlns:c16="http://schemas.microsoft.com/office/drawing/2014/chart" uri="{C3380CC4-5D6E-409C-BE32-E72D297353CC}">
              <c16:uniqueId val="{00000000-FA8F-48B0-8E57-91F42A50D3FA}"/>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300"/>
              <a:t>18</a:t>
            </a:r>
            <a:r>
              <a:rPr lang="pt-BR" sz="1300" baseline="0"/>
              <a:t> - </a:t>
            </a:r>
            <a:r>
              <a:rPr lang="pt-BR" sz="1300" b="0" i="0" u="none" strike="noStrike" baseline="0">
                <a:effectLst/>
              </a:rPr>
              <a:t>As políticas do PGMAT em relação a apoios (participação em congressos e eventos científicos, missões de trabalho, revisão de artigos científicos em inglês, manutenção de equipamentos, atas de reuniões, entre outros) têm sido suficientes ?</a:t>
            </a:r>
            <a:endParaRPr lang="pt-BR" sz="1300"/>
          </a:p>
        </c:rich>
      </c:tx>
      <c:layout>
        <c:manualLayout>
          <c:xMode val="edge"/>
          <c:yMode val="edge"/>
          <c:x val="0.1442816889484306"/>
          <c:y val="2.550128355984999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INST.'!$T$273:$T$276</c:f>
              <c:strCache>
                <c:ptCount val="4"/>
                <c:pt idx="0">
                  <c:v>MUITO BOM / ÓTIMO</c:v>
                </c:pt>
                <c:pt idx="1">
                  <c:v>BOM</c:v>
                </c:pt>
                <c:pt idx="2">
                  <c:v>RUIM / REGULAR</c:v>
                </c:pt>
                <c:pt idx="3">
                  <c:v>NÃO SE APLICA / NÃO SEI</c:v>
                </c:pt>
              </c:strCache>
            </c:strRef>
          </c:cat>
          <c:val>
            <c:numRef>
              <c:f>'Dashboard-1-AVALIAÇÃO INST.'!$U$273:$U$276</c:f>
              <c:numCache>
                <c:formatCode>0%</c:formatCode>
                <c:ptCount val="4"/>
                <c:pt idx="0">
                  <c:v>0.58252427184466016</c:v>
                </c:pt>
                <c:pt idx="1">
                  <c:v>0.13592233009708737</c:v>
                </c:pt>
                <c:pt idx="2">
                  <c:v>0.1553398058252427</c:v>
                </c:pt>
                <c:pt idx="3">
                  <c:v>0.12621359223300971</c:v>
                </c:pt>
              </c:numCache>
            </c:numRef>
          </c:val>
          <c:extLst>
            <c:ext xmlns:c16="http://schemas.microsoft.com/office/drawing/2014/chart" uri="{C3380CC4-5D6E-409C-BE32-E72D297353CC}">
              <c16:uniqueId val="{00000000-7FF0-4C25-AAEA-EE4DAEC28A4A}"/>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'D5'!$O$28:$O$31</c:f>
              <c:numCache>
                <c:formatCode>0%</c:formatCode>
                <c:ptCount val="4"/>
                <c:pt idx="0">
                  <c:v>1</c:v>
                </c:pt>
                <c:pt idx="1">
                  <c:v>0</c:v>
                </c:pt>
                <c:pt idx="2">
                  <c:v>0</c:v>
                </c:pt>
                <c:pt idx="3">
                  <c:v>0</c:v>
                </c:pt>
              </c:numCache>
            </c:numRef>
          </c:val>
          <c:extLst>
            <c:ext xmlns:c16="http://schemas.microsoft.com/office/drawing/2014/chart" uri="{C3380CC4-5D6E-409C-BE32-E72D297353CC}">
              <c16:uniqueId val="{00000000-A759-4076-9720-F499566C1C5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'D6'!$O$28:$O$31</c:f>
              <c:numCache>
                <c:formatCode>0%</c:formatCode>
                <c:ptCount val="4"/>
                <c:pt idx="0">
                  <c:v>0.8</c:v>
                </c:pt>
                <c:pt idx="1">
                  <c:v>0</c:v>
                </c:pt>
                <c:pt idx="2">
                  <c:v>0</c:v>
                </c:pt>
                <c:pt idx="3">
                  <c:v>0.2</c:v>
                </c:pt>
              </c:numCache>
            </c:numRef>
          </c:val>
          <c:extLst>
            <c:ext xmlns:c16="http://schemas.microsoft.com/office/drawing/2014/chart" uri="{C3380CC4-5D6E-409C-BE32-E72D297353CC}">
              <c16:uniqueId val="{00000000-5D4B-4DB6-9066-EB02BE2AF996}"/>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'D7'!$O$28:$O$31</c:f>
              <c:numCache>
                <c:formatCode>0%</c:formatCode>
                <c:ptCount val="4"/>
                <c:pt idx="0">
                  <c:v>1</c:v>
                </c:pt>
                <c:pt idx="1">
                  <c:v>0</c:v>
                </c:pt>
                <c:pt idx="2">
                  <c:v>0</c:v>
                </c:pt>
                <c:pt idx="3">
                  <c:v>0</c:v>
                </c:pt>
              </c:numCache>
            </c:numRef>
          </c:val>
          <c:extLst>
            <c:ext xmlns:c16="http://schemas.microsoft.com/office/drawing/2014/chart" uri="{C3380CC4-5D6E-409C-BE32-E72D297353CC}">
              <c16:uniqueId val="{00000000-8927-47CD-9682-FA6D3467B273}"/>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'D11'!$O$28:$O$31</c:f>
              <c:numCache>
                <c:formatCode>0%</c:formatCode>
                <c:ptCount val="4"/>
                <c:pt idx="0">
                  <c:v>1</c:v>
                </c:pt>
                <c:pt idx="1">
                  <c:v>0</c:v>
                </c:pt>
                <c:pt idx="2">
                  <c:v>0</c:v>
                </c:pt>
                <c:pt idx="3">
                  <c:v>0</c:v>
                </c:pt>
              </c:numCache>
            </c:numRef>
          </c:val>
          <c:extLst>
            <c:ext xmlns:c16="http://schemas.microsoft.com/office/drawing/2014/chart" uri="{C3380CC4-5D6E-409C-BE32-E72D297353CC}">
              <c16:uniqueId val="{00000000-7E57-45A9-9177-5317AB0D2749}"/>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'D4'!$P$28:$P$31</c:f>
              <c:numCache>
                <c:formatCode>0%</c:formatCode>
                <c:ptCount val="4"/>
                <c:pt idx="0">
                  <c:v>0.75</c:v>
                </c:pt>
                <c:pt idx="1">
                  <c:v>0</c:v>
                </c:pt>
                <c:pt idx="2">
                  <c:v>0.25</c:v>
                </c:pt>
                <c:pt idx="3">
                  <c:v>0</c:v>
                </c:pt>
              </c:numCache>
            </c:numRef>
          </c:val>
          <c:extLst>
            <c:ext xmlns:c16="http://schemas.microsoft.com/office/drawing/2014/chart" uri="{C3380CC4-5D6E-409C-BE32-E72D297353CC}">
              <c16:uniqueId val="{00000000-7FC0-4D32-A24E-B611A544A5D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'D8'!$P$28:$P$31</c:f>
              <c:numCache>
                <c:formatCode>0%</c:formatCode>
                <c:ptCount val="4"/>
                <c:pt idx="0">
                  <c:v>0.5</c:v>
                </c:pt>
                <c:pt idx="1">
                  <c:v>0.25</c:v>
                </c:pt>
                <c:pt idx="2">
                  <c:v>0.25</c:v>
                </c:pt>
                <c:pt idx="3">
                  <c:v>0</c:v>
                </c:pt>
              </c:numCache>
            </c:numRef>
          </c:val>
          <c:extLst>
            <c:ext xmlns:c16="http://schemas.microsoft.com/office/drawing/2014/chart" uri="{C3380CC4-5D6E-409C-BE32-E72D297353CC}">
              <c16:uniqueId val="{00000000-AED5-40F6-A7F8-E00FA2D3EAD0}"/>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'D9'!$P$28:$P$31</c:f>
              <c:numCache>
                <c:formatCode>0%</c:formatCode>
                <c:ptCount val="4"/>
                <c:pt idx="0">
                  <c:v>0.375</c:v>
                </c:pt>
                <c:pt idx="1">
                  <c:v>0.25</c:v>
                </c:pt>
                <c:pt idx="2">
                  <c:v>0.25</c:v>
                </c:pt>
                <c:pt idx="3">
                  <c:v>0.125</c:v>
                </c:pt>
              </c:numCache>
            </c:numRef>
          </c:val>
          <c:extLst>
            <c:ext xmlns:c16="http://schemas.microsoft.com/office/drawing/2014/chart" uri="{C3380CC4-5D6E-409C-BE32-E72D297353CC}">
              <c16:uniqueId val="{00000000-6519-4B85-B078-7AEA9487A7D2}"/>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'D10'!$P$28:$P$31</c:f>
              <c:numCache>
                <c:formatCode>0%</c:formatCode>
                <c:ptCount val="4"/>
                <c:pt idx="0">
                  <c:v>1</c:v>
                </c:pt>
                <c:pt idx="1">
                  <c:v>0</c:v>
                </c:pt>
                <c:pt idx="2">
                  <c:v>0</c:v>
                </c:pt>
                <c:pt idx="3">
                  <c:v>0</c:v>
                </c:pt>
              </c:numCache>
            </c:numRef>
          </c:val>
          <c:extLst>
            <c:ext xmlns:c16="http://schemas.microsoft.com/office/drawing/2014/chart" uri="{C3380CC4-5D6E-409C-BE32-E72D297353CC}">
              <c16:uniqueId val="{00000000-2526-406D-8CBD-0F50A18BE10F}"/>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'D12'!$P$28:$P$31</c:f>
              <c:numCache>
                <c:formatCode>0%</c:formatCode>
                <c:ptCount val="4"/>
                <c:pt idx="0">
                  <c:v>0.66666666666666663</c:v>
                </c:pt>
                <c:pt idx="1">
                  <c:v>0.33333333333333331</c:v>
                </c:pt>
                <c:pt idx="2">
                  <c:v>0</c:v>
                </c:pt>
                <c:pt idx="3">
                  <c:v>0</c:v>
                </c:pt>
              </c:numCache>
            </c:numRef>
          </c:val>
          <c:extLst>
            <c:ext xmlns:c16="http://schemas.microsoft.com/office/drawing/2014/chart" uri="{C3380CC4-5D6E-409C-BE32-E72D297353CC}">
              <c16:uniqueId val="{00000000-BE68-426D-AFF0-6AF49315B1BA}"/>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'D13'!$P$28:$P$31</c:f>
              <c:numCache>
                <c:formatCode>0%</c:formatCode>
                <c:ptCount val="4"/>
                <c:pt idx="0">
                  <c:v>0.8666666666666667</c:v>
                </c:pt>
                <c:pt idx="1">
                  <c:v>6.6666666666666666E-2</c:v>
                </c:pt>
                <c:pt idx="2">
                  <c:v>6.6666666666666666E-2</c:v>
                </c:pt>
                <c:pt idx="3">
                  <c:v>0</c:v>
                </c:pt>
              </c:numCache>
            </c:numRef>
          </c:val>
          <c:extLst>
            <c:ext xmlns:c16="http://schemas.microsoft.com/office/drawing/2014/chart" uri="{C3380CC4-5D6E-409C-BE32-E72D297353CC}">
              <c16:uniqueId val="{00000000-EF0A-4F8E-83E9-1E3AD830F3C2}"/>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19 - O PGMAT tem contribuído com o uso de tecnologias digitais em educação ?</a:t>
            </a:r>
          </a:p>
        </c:rich>
      </c:tx>
      <c:layout>
        <c:manualLayout>
          <c:xMode val="edge"/>
          <c:yMode val="edge"/>
          <c:x val="0.16593724607293039"/>
          <c:y val="2.5072539166920444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INST.'!$D$293:$D$296</c:f>
              <c:strCache>
                <c:ptCount val="4"/>
                <c:pt idx="0">
                  <c:v>MUITO BOM / ÓTIMO</c:v>
                </c:pt>
                <c:pt idx="1">
                  <c:v>BOM</c:v>
                </c:pt>
                <c:pt idx="2">
                  <c:v>RUIM / REGULAR</c:v>
                </c:pt>
                <c:pt idx="3">
                  <c:v>NÃO SE APLICA / NÃO SEI</c:v>
                </c:pt>
              </c:strCache>
            </c:strRef>
          </c:cat>
          <c:val>
            <c:numRef>
              <c:f>'Dashboard-1-AVALIAÇÃO INST.'!$F$293:$F$296</c:f>
              <c:numCache>
                <c:formatCode>0%</c:formatCode>
                <c:ptCount val="4"/>
                <c:pt idx="0">
                  <c:v>0.55555555555555558</c:v>
                </c:pt>
                <c:pt idx="1">
                  <c:v>0.15555555555555556</c:v>
                </c:pt>
                <c:pt idx="2">
                  <c:v>6.6666666666666666E-2</c:v>
                </c:pt>
                <c:pt idx="3">
                  <c:v>0.22222222222222221</c:v>
                </c:pt>
              </c:numCache>
            </c:numRef>
          </c:val>
          <c:extLst>
            <c:ext xmlns:c16="http://schemas.microsoft.com/office/drawing/2014/chart" uri="{C3380CC4-5D6E-409C-BE32-E72D297353CC}">
              <c16:uniqueId val="{00000000-7434-498C-84E1-C0B18BDAF1F2}"/>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34-498C-84E1-C0B18BDAF1F2}"/>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34-498C-84E1-C0B18BDAF1F2}"/>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34-498C-84E1-C0B18BDAF1F2}"/>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34-498C-84E1-C0B18BDAF1F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INST.'!$D$293:$D$296</c:f>
              <c:strCache>
                <c:ptCount val="4"/>
                <c:pt idx="0">
                  <c:v>MUITO BOM / ÓTIMO</c:v>
                </c:pt>
                <c:pt idx="1">
                  <c:v>BOM</c:v>
                </c:pt>
                <c:pt idx="2">
                  <c:v>RUIM / REGULAR</c:v>
                </c:pt>
                <c:pt idx="3">
                  <c:v>NÃO SE APLICA / NÃO SEI</c:v>
                </c:pt>
              </c:strCache>
            </c:strRef>
          </c:cat>
          <c:val>
            <c:numRef>
              <c:f>'Dashboard-1-AVALIAÇÃO INST.'!$E$293:$E$296</c:f>
              <c:numCache>
                <c:formatCode>0%</c:formatCode>
                <c:ptCount val="4"/>
                <c:pt idx="0">
                  <c:v>0.43103448275862066</c:v>
                </c:pt>
                <c:pt idx="1">
                  <c:v>0.17241379310344829</c:v>
                </c:pt>
                <c:pt idx="2">
                  <c:v>5.1724137931034482E-2</c:v>
                </c:pt>
                <c:pt idx="3">
                  <c:v>0.34482758620689657</c:v>
                </c:pt>
              </c:numCache>
            </c:numRef>
          </c:val>
          <c:extLst>
            <c:ext xmlns:c16="http://schemas.microsoft.com/office/drawing/2014/chart" uri="{C3380CC4-5D6E-409C-BE32-E72D297353CC}">
              <c16:uniqueId val="{00000005-7434-498C-84E1-C0B18BDAF1F2}"/>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'D3'!$P$28:$P$31</c:f>
              <c:numCache>
                <c:formatCode>0%</c:formatCode>
                <c:ptCount val="4"/>
                <c:pt idx="0">
                  <c:v>0.2</c:v>
                </c:pt>
                <c:pt idx="1">
                  <c:v>0.8</c:v>
                </c:pt>
                <c:pt idx="2">
                  <c:v>0</c:v>
                </c:pt>
                <c:pt idx="3">
                  <c:v>0</c:v>
                </c:pt>
              </c:numCache>
            </c:numRef>
          </c:val>
          <c:extLst>
            <c:ext xmlns:c16="http://schemas.microsoft.com/office/drawing/2014/chart" uri="{C3380CC4-5D6E-409C-BE32-E72D297353CC}">
              <c16:uniqueId val="{00000000-38AD-4A6E-A8B5-2C25DBFFD5B1}"/>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'D5'!$P$28:$P$31</c:f>
              <c:numCache>
                <c:formatCode>0%</c:formatCode>
                <c:ptCount val="4"/>
                <c:pt idx="0">
                  <c:v>1</c:v>
                </c:pt>
                <c:pt idx="1">
                  <c:v>0</c:v>
                </c:pt>
                <c:pt idx="2">
                  <c:v>0</c:v>
                </c:pt>
                <c:pt idx="3">
                  <c:v>0</c:v>
                </c:pt>
              </c:numCache>
            </c:numRef>
          </c:val>
          <c:extLst>
            <c:ext xmlns:c16="http://schemas.microsoft.com/office/drawing/2014/chart" uri="{C3380CC4-5D6E-409C-BE32-E72D297353CC}">
              <c16:uniqueId val="{00000000-3A58-4653-B834-BA00612F662C}"/>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'D6'!$P$28:$P$31</c:f>
              <c:numCache>
                <c:formatCode>0%</c:formatCode>
                <c:ptCount val="4"/>
                <c:pt idx="0">
                  <c:v>0.8</c:v>
                </c:pt>
                <c:pt idx="1">
                  <c:v>0.2</c:v>
                </c:pt>
                <c:pt idx="2">
                  <c:v>0</c:v>
                </c:pt>
                <c:pt idx="3">
                  <c:v>0</c:v>
                </c:pt>
              </c:numCache>
            </c:numRef>
          </c:val>
          <c:extLst>
            <c:ext xmlns:c16="http://schemas.microsoft.com/office/drawing/2014/chart" uri="{C3380CC4-5D6E-409C-BE32-E72D297353CC}">
              <c16:uniqueId val="{00000000-83A7-4031-9921-B51F1F859A43}"/>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'D7'!$P$28:$P$31</c:f>
              <c:numCache>
                <c:formatCode>0%</c:formatCode>
                <c:ptCount val="4"/>
                <c:pt idx="0">
                  <c:v>0.25</c:v>
                </c:pt>
                <c:pt idx="1">
                  <c:v>0.75</c:v>
                </c:pt>
                <c:pt idx="2">
                  <c:v>0</c:v>
                </c:pt>
                <c:pt idx="3">
                  <c:v>0</c:v>
                </c:pt>
              </c:numCache>
            </c:numRef>
          </c:val>
          <c:extLst>
            <c:ext xmlns:c16="http://schemas.microsoft.com/office/drawing/2014/chart" uri="{C3380CC4-5D6E-409C-BE32-E72D297353CC}">
              <c16:uniqueId val="{00000000-CF6E-4094-B6E7-ADE124874D22}"/>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'D11'!$P$28:$P$31</c:f>
              <c:numCache>
                <c:formatCode>0%</c:formatCode>
                <c:ptCount val="4"/>
                <c:pt idx="0">
                  <c:v>1</c:v>
                </c:pt>
                <c:pt idx="1">
                  <c:v>0</c:v>
                </c:pt>
                <c:pt idx="2">
                  <c:v>0</c:v>
                </c:pt>
                <c:pt idx="3">
                  <c:v>0</c:v>
                </c:pt>
              </c:numCache>
            </c:numRef>
          </c:val>
          <c:extLst>
            <c:ext xmlns:c16="http://schemas.microsoft.com/office/drawing/2014/chart" uri="{C3380CC4-5D6E-409C-BE32-E72D297353CC}">
              <c16:uniqueId val="{00000000-52C3-44D0-A324-DB968B264DA9}"/>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'D4'!$Q$28:$Q$31</c:f>
              <c:numCache>
                <c:formatCode>0%</c:formatCode>
                <c:ptCount val="4"/>
                <c:pt idx="0">
                  <c:v>0.75</c:v>
                </c:pt>
                <c:pt idx="1">
                  <c:v>0</c:v>
                </c:pt>
                <c:pt idx="2">
                  <c:v>0.25</c:v>
                </c:pt>
                <c:pt idx="3">
                  <c:v>0</c:v>
                </c:pt>
              </c:numCache>
            </c:numRef>
          </c:val>
          <c:extLst>
            <c:ext xmlns:c16="http://schemas.microsoft.com/office/drawing/2014/chart" uri="{C3380CC4-5D6E-409C-BE32-E72D297353CC}">
              <c16:uniqueId val="{00000000-0680-4890-AE91-042131F8504B}"/>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'D8'!$Q$28:$Q$31</c:f>
              <c:numCache>
                <c:formatCode>0%</c:formatCode>
                <c:ptCount val="4"/>
                <c:pt idx="0">
                  <c:v>1</c:v>
                </c:pt>
                <c:pt idx="1">
                  <c:v>0</c:v>
                </c:pt>
                <c:pt idx="2">
                  <c:v>0</c:v>
                </c:pt>
                <c:pt idx="3">
                  <c:v>0</c:v>
                </c:pt>
              </c:numCache>
            </c:numRef>
          </c:val>
          <c:extLst>
            <c:ext xmlns:c16="http://schemas.microsoft.com/office/drawing/2014/chart" uri="{C3380CC4-5D6E-409C-BE32-E72D297353CC}">
              <c16:uniqueId val="{00000000-B8DD-42ED-BB61-C741334FDEA8}"/>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'D9'!$Q$28:$Q$31</c:f>
              <c:numCache>
                <c:formatCode>0%</c:formatCode>
                <c:ptCount val="4"/>
                <c:pt idx="0">
                  <c:v>0.875</c:v>
                </c:pt>
                <c:pt idx="1">
                  <c:v>0</c:v>
                </c:pt>
                <c:pt idx="2">
                  <c:v>0</c:v>
                </c:pt>
                <c:pt idx="3">
                  <c:v>0.125</c:v>
                </c:pt>
              </c:numCache>
            </c:numRef>
          </c:val>
          <c:extLst>
            <c:ext xmlns:c16="http://schemas.microsoft.com/office/drawing/2014/chart" uri="{C3380CC4-5D6E-409C-BE32-E72D297353CC}">
              <c16:uniqueId val="{00000000-88E5-4BB8-B567-4402AB3B483B}"/>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'D10'!$Q$28:$Q$31</c:f>
              <c:numCache>
                <c:formatCode>0%</c:formatCode>
                <c:ptCount val="4"/>
                <c:pt idx="0">
                  <c:v>1</c:v>
                </c:pt>
                <c:pt idx="1">
                  <c:v>0</c:v>
                </c:pt>
                <c:pt idx="2">
                  <c:v>0</c:v>
                </c:pt>
                <c:pt idx="3">
                  <c:v>0</c:v>
                </c:pt>
              </c:numCache>
            </c:numRef>
          </c:val>
          <c:extLst>
            <c:ext xmlns:c16="http://schemas.microsoft.com/office/drawing/2014/chart" uri="{C3380CC4-5D6E-409C-BE32-E72D297353CC}">
              <c16:uniqueId val="{00000000-EC42-495C-BD03-11A243E430D5}"/>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'D12'!$Q$28:$Q$31</c:f>
              <c:numCache>
                <c:formatCode>0%</c:formatCode>
                <c:ptCount val="4"/>
                <c:pt idx="0">
                  <c:v>1</c:v>
                </c:pt>
                <c:pt idx="1">
                  <c:v>0</c:v>
                </c:pt>
                <c:pt idx="2">
                  <c:v>0</c:v>
                </c:pt>
                <c:pt idx="3">
                  <c:v>0</c:v>
                </c:pt>
              </c:numCache>
            </c:numRef>
          </c:val>
          <c:extLst>
            <c:ext xmlns:c16="http://schemas.microsoft.com/office/drawing/2014/chart" uri="{C3380CC4-5D6E-409C-BE32-E72D297353CC}">
              <c16:uniqueId val="{00000000-AD31-4BDA-83E9-20099C9DAE65}"/>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300"/>
              <a:t>19</a:t>
            </a:r>
            <a:r>
              <a:rPr lang="pt-BR" sz="1300" baseline="0"/>
              <a:t> - </a:t>
            </a:r>
            <a:r>
              <a:rPr lang="pt-BR" sz="1300" b="0" i="0" u="none" strike="noStrike" baseline="0">
                <a:effectLst/>
              </a:rPr>
              <a:t>O PGMAT tem contribuído com o uso de tecnologias digitais em educação ?</a:t>
            </a:r>
            <a:endParaRPr lang="pt-BR" sz="1300"/>
          </a:p>
        </c:rich>
      </c:tx>
      <c:layout>
        <c:manualLayout>
          <c:xMode val="edge"/>
          <c:yMode val="edge"/>
          <c:x val="0.20401502897106186"/>
          <c:y val="4.890285886265850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INST.'!$T$292:$T$295</c:f>
              <c:strCache>
                <c:ptCount val="4"/>
                <c:pt idx="0">
                  <c:v>MUITO BOM / ÓTIMO</c:v>
                </c:pt>
                <c:pt idx="1">
                  <c:v>BOM</c:v>
                </c:pt>
                <c:pt idx="2">
                  <c:v>RUIM / REGULAR</c:v>
                </c:pt>
                <c:pt idx="3">
                  <c:v>NÃO SE APLICA / NÃO SEI</c:v>
                </c:pt>
              </c:strCache>
            </c:strRef>
          </c:cat>
          <c:val>
            <c:numRef>
              <c:f>'Dashboard-1-AVALIAÇÃO INST.'!$U$292:$U$295</c:f>
              <c:numCache>
                <c:formatCode>0%</c:formatCode>
                <c:ptCount val="4"/>
                <c:pt idx="0">
                  <c:v>0.4854368932038835</c:v>
                </c:pt>
                <c:pt idx="1">
                  <c:v>0.1650485436893204</c:v>
                </c:pt>
                <c:pt idx="2">
                  <c:v>5.8252427184466021E-2</c:v>
                </c:pt>
                <c:pt idx="3">
                  <c:v>0.29126213592233008</c:v>
                </c:pt>
              </c:numCache>
            </c:numRef>
          </c:val>
          <c:extLst>
            <c:ext xmlns:c16="http://schemas.microsoft.com/office/drawing/2014/chart" uri="{C3380CC4-5D6E-409C-BE32-E72D297353CC}">
              <c16:uniqueId val="{00000000-04BD-43EA-8867-23079D9E1CA9}"/>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'D13'!$Q$28:$Q$31</c:f>
              <c:numCache>
                <c:formatCode>0%</c:formatCode>
                <c:ptCount val="4"/>
                <c:pt idx="0">
                  <c:v>0.93333333333333335</c:v>
                </c:pt>
                <c:pt idx="1">
                  <c:v>0</c:v>
                </c:pt>
                <c:pt idx="2">
                  <c:v>6.6666666666666666E-2</c:v>
                </c:pt>
                <c:pt idx="3">
                  <c:v>0</c:v>
                </c:pt>
              </c:numCache>
            </c:numRef>
          </c:val>
          <c:extLst>
            <c:ext xmlns:c16="http://schemas.microsoft.com/office/drawing/2014/chart" uri="{C3380CC4-5D6E-409C-BE32-E72D297353CC}">
              <c16:uniqueId val="{00000000-862A-486A-908A-F8B1986A2F7C}"/>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'D3'!$Q$28:$Q$31</c:f>
              <c:numCache>
                <c:formatCode>0%</c:formatCode>
                <c:ptCount val="4"/>
                <c:pt idx="0">
                  <c:v>1</c:v>
                </c:pt>
                <c:pt idx="1">
                  <c:v>0</c:v>
                </c:pt>
                <c:pt idx="2">
                  <c:v>0</c:v>
                </c:pt>
                <c:pt idx="3">
                  <c:v>0</c:v>
                </c:pt>
              </c:numCache>
            </c:numRef>
          </c:val>
          <c:extLst>
            <c:ext xmlns:c16="http://schemas.microsoft.com/office/drawing/2014/chart" uri="{C3380CC4-5D6E-409C-BE32-E72D297353CC}">
              <c16:uniqueId val="{00000000-748C-4184-A8E0-F5DB2AB86B8B}"/>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'D5'!$Q$28:$Q$31</c:f>
              <c:numCache>
                <c:formatCode>0%</c:formatCode>
                <c:ptCount val="4"/>
                <c:pt idx="0">
                  <c:v>1</c:v>
                </c:pt>
                <c:pt idx="1">
                  <c:v>0</c:v>
                </c:pt>
                <c:pt idx="2">
                  <c:v>0</c:v>
                </c:pt>
                <c:pt idx="3">
                  <c:v>0</c:v>
                </c:pt>
              </c:numCache>
            </c:numRef>
          </c:val>
          <c:extLst>
            <c:ext xmlns:c16="http://schemas.microsoft.com/office/drawing/2014/chart" uri="{C3380CC4-5D6E-409C-BE32-E72D297353CC}">
              <c16:uniqueId val="{00000000-ED25-4DC6-BC27-7F731D3F37E8}"/>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'D6'!$Q$28:$Q$31</c:f>
              <c:numCache>
                <c:formatCode>0%</c:formatCode>
                <c:ptCount val="4"/>
                <c:pt idx="0">
                  <c:v>1</c:v>
                </c:pt>
                <c:pt idx="1">
                  <c:v>0</c:v>
                </c:pt>
                <c:pt idx="2">
                  <c:v>0</c:v>
                </c:pt>
                <c:pt idx="3">
                  <c:v>0</c:v>
                </c:pt>
              </c:numCache>
            </c:numRef>
          </c:val>
          <c:extLst>
            <c:ext xmlns:c16="http://schemas.microsoft.com/office/drawing/2014/chart" uri="{C3380CC4-5D6E-409C-BE32-E72D297353CC}">
              <c16:uniqueId val="{00000000-A986-4BD0-BA28-321F6D0AED7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'D7'!$Q$28:$Q$31</c:f>
              <c:numCache>
                <c:formatCode>0%</c:formatCode>
                <c:ptCount val="4"/>
                <c:pt idx="0">
                  <c:v>1</c:v>
                </c:pt>
                <c:pt idx="1">
                  <c:v>0</c:v>
                </c:pt>
                <c:pt idx="2">
                  <c:v>0</c:v>
                </c:pt>
                <c:pt idx="3">
                  <c:v>0</c:v>
                </c:pt>
              </c:numCache>
            </c:numRef>
          </c:val>
          <c:extLst>
            <c:ext xmlns:c16="http://schemas.microsoft.com/office/drawing/2014/chart" uri="{C3380CC4-5D6E-409C-BE32-E72D297353CC}">
              <c16:uniqueId val="{00000000-DE10-49CD-B5E0-7A9A72B06E86}"/>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'D11'!$Q$28:$Q$31</c:f>
              <c:numCache>
                <c:formatCode>0%</c:formatCode>
                <c:ptCount val="4"/>
                <c:pt idx="0">
                  <c:v>1</c:v>
                </c:pt>
                <c:pt idx="1">
                  <c:v>0</c:v>
                </c:pt>
                <c:pt idx="2">
                  <c:v>0</c:v>
                </c:pt>
                <c:pt idx="3">
                  <c:v>0</c:v>
                </c:pt>
              </c:numCache>
            </c:numRef>
          </c:val>
          <c:extLst>
            <c:ext xmlns:c16="http://schemas.microsoft.com/office/drawing/2014/chart" uri="{C3380CC4-5D6E-409C-BE32-E72D297353CC}">
              <c16:uniqueId val="{00000000-A2E9-4266-BB13-1AA7F5A3F5D1}"/>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'D4'!$R$28:$R$31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E631-4EF1-826F-A1A4BFCD738A}"/>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'D8'!$R$28:$R$31</c:f>
              <c:numCache>
                <c:formatCode>0%</c:formatCode>
                <c:ptCount val="4"/>
                <c:pt idx="0">
                  <c:v>1</c:v>
                </c:pt>
                <c:pt idx="1">
                  <c:v>0</c:v>
                </c:pt>
                <c:pt idx="2">
                  <c:v>0</c:v>
                </c:pt>
                <c:pt idx="3">
                  <c:v>0</c:v>
                </c:pt>
              </c:numCache>
            </c:numRef>
          </c:val>
          <c:extLst>
            <c:ext xmlns:c16="http://schemas.microsoft.com/office/drawing/2014/chart" uri="{C3380CC4-5D6E-409C-BE32-E72D297353CC}">
              <c16:uniqueId val="{00000000-2746-4A0F-8D0C-2C214DFF8C43}"/>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'D9'!$R$28:$R$31</c:f>
              <c:numCache>
                <c:formatCode>0%</c:formatCode>
                <c:ptCount val="4"/>
                <c:pt idx="0">
                  <c:v>0.75</c:v>
                </c:pt>
                <c:pt idx="1">
                  <c:v>0.125</c:v>
                </c:pt>
                <c:pt idx="2">
                  <c:v>0</c:v>
                </c:pt>
                <c:pt idx="3">
                  <c:v>0.125</c:v>
                </c:pt>
              </c:numCache>
            </c:numRef>
          </c:val>
          <c:extLst>
            <c:ext xmlns:c16="http://schemas.microsoft.com/office/drawing/2014/chart" uri="{C3380CC4-5D6E-409C-BE32-E72D297353CC}">
              <c16:uniqueId val="{00000000-050A-468D-910E-2DD30E002299}"/>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'D10'!$R$28:$R$31</c:f>
              <c:numCache>
                <c:formatCode>0%</c:formatCode>
                <c:ptCount val="4"/>
                <c:pt idx="0">
                  <c:v>1</c:v>
                </c:pt>
                <c:pt idx="1">
                  <c:v>0</c:v>
                </c:pt>
                <c:pt idx="2">
                  <c:v>0</c:v>
                </c:pt>
                <c:pt idx="3">
                  <c:v>0</c:v>
                </c:pt>
              </c:numCache>
            </c:numRef>
          </c:val>
          <c:extLst>
            <c:ext xmlns:c16="http://schemas.microsoft.com/office/drawing/2014/chart" uri="{C3380CC4-5D6E-409C-BE32-E72D297353CC}">
              <c16:uniqueId val="{00000000-0B2E-4F41-9AC2-C2587B843034}"/>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20 - O PGMAT, com o apoio da UFSC, tem disponibilizado recursos suficientes para a realização de suas atividades acadêmicas NÃO PRESENCIAIS ?</a:t>
            </a:r>
          </a:p>
        </c:rich>
      </c:tx>
      <c:layout>
        <c:manualLayout>
          <c:xMode val="edge"/>
          <c:yMode val="edge"/>
          <c:x val="0.16593724607293039"/>
          <c:y val="2.5072539166920444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INST.'!$D$313:$D$316</c:f>
              <c:strCache>
                <c:ptCount val="4"/>
                <c:pt idx="0">
                  <c:v>MUITO BOM / ÓTIMO</c:v>
                </c:pt>
                <c:pt idx="1">
                  <c:v>BOM</c:v>
                </c:pt>
                <c:pt idx="2">
                  <c:v>RUIM / REGULAR</c:v>
                </c:pt>
                <c:pt idx="3">
                  <c:v>NÃO SE APLICA / NÃO SEI</c:v>
                </c:pt>
              </c:strCache>
            </c:strRef>
          </c:cat>
          <c:val>
            <c:numRef>
              <c:f>'Dashboard-1-AVALIAÇÃO INST.'!$F$313:$F$316</c:f>
              <c:numCache>
                <c:formatCode>0%</c:formatCode>
                <c:ptCount val="4"/>
                <c:pt idx="0">
                  <c:v>0.6</c:v>
                </c:pt>
                <c:pt idx="1">
                  <c:v>6.6666666666666666E-2</c:v>
                </c:pt>
                <c:pt idx="2">
                  <c:v>6.6666666666666666E-2</c:v>
                </c:pt>
                <c:pt idx="3">
                  <c:v>0.26666666666666666</c:v>
                </c:pt>
              </c:numCache>
            </c:numRef>
          </c:val>
          <c:extLst>
            <c:ext xmlns:c16="http://schemas.microsoft.com/office/drawing/2014/chart" uri="{C3380CC4-5D6E-409C-BE32-E72D297353CC}">
              <c16:uniqueId val="{00000000-3DE8-4797-8E63-5A31FA2BE39C}"/>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E8-4797-8E63-5A31FA2BE39C}"/>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E8-4797-8E63-5A31FA2BE39C}"/>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E8-4797-8E63-5A31FA2BE39C}"/>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E8-4797-8E63-5A31FA2BE39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INST.'!$D$313:$D$316</c:f>
              <c:strCache>
                <c:ptCount val="4"/>
                <c:pt idx="0">
                  <c:v>MUITO BOM / ÓTIMO</c:v>
                </c:pt>
                <c:pt idx="1">
                  <c:v>BOM</c:v>
                </c:pt>
                <c:pt idx="2">
                  <c:v>RUIM / REGULAR</c:v>
                </c:pt>
                <c:pt idx="3">
                  <c:v>NÃO SE APLICA / NÃO SEI</c:v>
                </c:pt>
              </c:strCache>
            </c:strRef>
          </c:cat>
          <c:val>
            <c:numRef>
              <c:f>'Dashboard-1-AVALIAÇÃO INST.'!$E$313:$E$316</c:f>
              <c:numCache>
                <c:formatCode>0%</c:formatCode>
                <c:ptCount val="4"/>
                <c:pt idx="0">
                  <c:v>0.39655172413793105</c:v>
                </c:pt>
                <c:pt idx="1">
                  <c:v>0.18965517241379309</c:v>
                </c:pt>
                <c:pt idx="2">
                  <c:v>3.4482758620689655E-2</c:v>
                </c:pt>
                <c:pt idx="3">
                  <c:v>0.37931034482758619</c:v>
                </c:pt>
              </c:numCache>
            </c:numRef>
          </c:val>
          <c:extLst>
            <c:ext xmlns:c16="http://schemas.microsoft.com/office/drawing/2014/chart" uri="{C3380CC4-5D6E-409C-BE32-E72D297353CC}">
              <c16:uniqueId val="{00000005-3DE8-4797-8E63-5A31FA2BE39C}"/>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'D12'!$R$28:$R$31</c:f>
              <c:numCache>
                <c:formatCode>0%</c:formatCode>
                <c:ptCount val="4"/>
                <c:pt idx="0">
                  <c:v>1</c:v>
                </c:pt>
                <c:pt idx="1">
                  <c:v>0</c:v>
                </c:pt>
                <c:pt idx="2">
                  <c:v>0</c:v>
                </c:pt>
                <c:pt idx="3">
                  <c:v>0</c:v>
                </c:pt>
              </c:numCache>
            </c:numRef>
          </c:val>
          <c:extLst>
            <c:ext xmlns:c16="http://schemas.microsoft.com/office/drawing/2014/chart" uri="{C3380CC4-5D6E-409C-BE32-E72D297353CC}">
              <c16:uniqueId val="{00000000-C53E-49ED-8918-A4D705CFBB3D}"/>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'D13'!$R$28:$R$31</c:f>
              <c:numCache>
                <c:formatCode>0%</c:formatCode>
                <c:ptCount val="4"/>
                <c:pt idx="0">
                  <c:v>1</c:v>
                </c:pt>
                <c:pt idx="1">
                  <c:v>0</c:v>
                </c:pt>
                <c:pt idx="2">
                  <c:v>0</c:v>
                </c:pt>
                <c:pt idx="3">
                  <c:v>0</c:v>
                </c:pt>
              </c:numCache>
            </c:numRef>
          </c:val>
          <c:extLst>
            <c:ext xmlns:c16="http://schemas.microsoft.com/office/drawing/2014/chart" uri="{C3380CC4-5D6E-409C-BE32-E72D297353CC}">
              <c16:uniqueId val="{00000000-F5DF-42D8-880A-62FCEF5A71B0}"/>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'D3'!$R$28:$R$31</c:f>
              <c:numCache>
                <c:formatCode>0%</c:formatCode>
                <c:ptCount val="4"/>
                <c:pt idx="0">
                  <c:v>0.8</c:v>
                </c:pt>
                <c:pt idx="1">
                  <c:v>0</c:v>
                </c:pt>
                <c:pt idx="2">
                  <c:v>0.2</c:v>
                </c:pt>
                <c:pt idx="3">
                  <c:v>0</c:v>
                </c:pt>
              </c:numCache>
            </c:numRef>
          </c:val>
          <c:extLst>
            <c:ext xmlns:c16="http://schemas.microsoft.com/office/drawing/2014/chart" uri="{C3380CC4-5D6E-409C-BE32-E72D297353CC}">
              <c16:uniqueId val="{00000000-06C6-44CD-A973-866B92DC7E95}"/>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'D5'!$R$28:$R$31</c:f>
              <c:numCache>
                <c:formatCode>0%</c:formatCode>
                <c:ptCount val="4"/>
                <c:pt idx="0">
                  <c:v>1</c:v>
                </c:pt>
                <c:pt idx="1">
                  <c:v>0</c:v>
                </c:pt>
                <c:pt idx="2">
                  <c:v>0</c:v>
                </c:pt>
                <c:pt idx="3">
                  <c:v>0</c:v>
                </c:pt>
              </c:numCache>
            </c:numRef>
          </c:val>
          <c:extLst>
            <c:ext xmlns:c16="http://schemas.microsoft.com/office/drawing/2014/chart" uri="{C3380CC4-5D6E-409C-BE32-E72D297353CC}">
              <c16:uniqueId val="{00000000-2BD4-430C-8FB1-829F2DC85357}"/>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'D6'!$R$28:$R$31</c:f>
              <c:numCache>
                <c:formatCode>0%</c:formatCode>
                <c:ptCount val="4"/>
                <c:pt idx="0">
                  <c:v>0.6</c:v>
                </c:pt>
                <c:pt idx="1">
                  <c:v>0</c:v>
                </c:pt>
                <c:pt idx="2">
                  <c:v>0.4</c:v>
                </c:pt>
                <c:pt idx="3">
                  <c:v>0</c:v>
                </c:pt>
              </c:numCache>
            </c:numRef>
          </c:val>
          <c:extLst>
            <c:ext xmlns:c16="http://schemas.microsoft.com/office/drawing/2014/chart" uri="{C3380CC4-5D6E-409C-BE32-E72D297353CC}">
              <c16:uniqueId val="{00000000-692E-4119-AF30-7FC78CEF7730}"/>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'D7'!$R$28:$R$31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5F1A-4EA5-BADB-FB016EEB4DF3}"/>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'D11'!$R$28:$R$31</c:f>
              <c:numCache>
                <c:formatCode>0%</c:formatCode>
                <c:ptCount val="4"/>
                <c:pt idx="0">
                  <c:v>1</c:v>
                </c:pt>
                <c:pt idx="1">
                  <c:v>0</c:v>
                </c:pt>
                <c:pt idx="2">
                  <c:v>0</c:v>
                </c:pt>
                <c:pt idx="3">
                  <c:v>0</c:v>
                </c:pt>
              </c:numCache>
            </c:numRef>
          </c:val>
          <c:extLst>
            <c:ext xmlns:c16="http://schemas.microsoft.com/office/drawing/2014/chart" uri="{C3380CC4-5D6E-409C-BE32-E72D297353CC}">
              <c16:uniqueId val="{00000000-9753-463B-AB61-92689232B40B}"/>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'D4'!$S$28:$S$31</c:f>
              <c:numCache>
                <c:formatCode>0%</c:formatCode>
                <c:ptCount val="4"/>
                <c:pt idx="0">
                  <c:v>1</c:v>
                </c:pt>
                <c:pt idx="1">
                  <c:v>0</c:v>
                </c:pt>
                <c:pt idx="2">
                  <c:v>0</c:v>
                </c:pt>
                <c:pt idx="3">
                  <c:v>0</c:v>
                </c:pt>
              </c:numCache>
            </c:numRef>
          </c:val>
          <c:extLst>
            <c:ext xmlns:c16="http://schemas.microsoft.com/office/drawing/2014/chart" uri="{C3380CC4-5D6E-409C-BE32-E72D297353CC}">
              <c16:uniqueId val="{00000000-1F3E-4164-A3B9-6470590C12B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'D8'!$S$28:$S$31</c:f>
              <c:numCache>
                <c:formatCode>0%</c:formatCode>
                <c:ptCount val="4"/>
                <c:pt idx="0">
                  <c:v>1</c:v>
                </c:pt>
                <c:pt idx="1">
                  <c:v>0</c:v>
                </c:pt>
                <c:pt idx="2">
                  <c:v>0</c:v>
                </c:pt>
                <c:pt idx="3">
                  <c:v>0</c:v>
                </c:pt>
              </c:numCache>
            </c:numRef>
          </c:val>
          <c:extLst>
            <c:ext xmlns:c16="http://schemas.microsoft.com/office/drawing/2014/chart" uri="{C3380CC4-5D6E-409C-BE32-E72D297353CC}">
              <c16:uniqueId val="{00000000-8D85-47B4-82B1-13FE2B22FDD9}"/>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'D9'!$S$28:$S$31</c:f>
              <c:numCache>
                <c:formatCode>0%</c:formatCode>
                <c:ptCount val="4"/>
                <c:pt idx="0">
                  <c:v>0.75</c:v>
                </c:pt>
                <c:pt idx="1">
                  <c:v>0.125</c:v>
                </c:pt>
                <c:pt idx="2">
                  <c:v>0</c:v>
                </c:pt>
                <c:pt idx="3">
                  <c:v>0.125</c:v>
                </c:pt>
              </c:numCache>
            </c:numRef>
          </c:val>
          <c:extLst>
            <c:ext xmlns:c16="http://schemas.microsoft.com/office/drawing/2014/chart" uri="{C3380CC4-5D6E-409C-BE32-E72D297353CC}">
              <c16:uniqueId val="{00000000-2438-48B2-BF67-2C00B10347C9}"/>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300" baseline="0"/>
              <a:t>20 - </a:t>
            </a:r>
            <a:r>
              <a:rPr lang="pt-BR" sz="1300" b="0" i="0" u="none" strike="noStrike" baseline="0">
                <a:effectLst/>
              </a:rPr>
              <a:t>O PGMAT, com o apoio da UFSC, tem disponibilizado recursos suficientes para a realização de suas atividades acadêmicas NÃO PRESENCIAIS ?</a:t>
            </a:r>
            <a:endParaRPr lang="pt-BR" sz="1300"/>
          </a:p>
        </c:rich>
      </c:tx>
      <c:layout>
        <c:manualLayout>
          <c:xMode val="edge"/>
          <c:yMode val="edge"/>
          <c:x val="0.18787546460897589"/>
          <c:y val="1.595785524101248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INST.'!$T$312:$T$315</c:f>
              <c:strCache>
                <c:ptCount val="4"/>
                <c:pt idx="0">
                  <c:v>MUITO BOM / ÓTIMO</c:v>
                </c:pt>
                <c:pt idx="1">
                  <c:v>BOM</c:v>
                </c:pt>
                <c:pt idx="2">
                  <c:v>RUIM / REGULAR</c:v>
                </c:pt>
                <c:pt idx="3">
                  <c:v>NÃO SE APLICA / NÃO SEI</c:v>
                </c:pt>
              </c:strCache>
            </c:strRef>
          </c:cat>
          <c:val>
            <c:numRef>
              <c:f>'Dashboard-1-AVALIAÇÃO INST.'!$U$312:$U$315</c:f>
              <c:numCache>
                <c:formatCode>0%</c:formatCode>
                <c:ptCount val="4"/>
                <c:pt idx="0">
                  <c:v>0.4854368932038835</c:v>
                </c:pt>
                <c:pt idx="1">
                  <c:v>0.13592233009708737</c:v>
                </c:pt>
                <c:pt idx="2">
                  <c:v>4.8543689320388349E-2</c:v>
                </c:pt>
                <c:pt idx="3">
                  <c:v>0.3300970873786408</c:v>
                </c:pt>
              </c:numCache>
            </c:numRef>
          </c:val>
          <c:extLst>
            <c:ext xmlns:c16="http://schemas.microsoft.com/office/drawing/2014/chart" uri="{C3380CC4-5D6E-409C-BE32-E72D297353CC}">
              <c16:uniqueId val="{00000000-055F-4E97-A82A-01EABDBD19E4}"/>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'D10'!$S$28:$S$31</c:f>
              <c:numCache>
                <c:formatCode>0%</c:formatCode>
                <c:ptCount val="4"/>
                <c:pt idx="0">
                  <c:v>1</c:v>
                </c:pt>
                <c:pt idx="1">
                  <c:v>0</c:v>
                </c:pt>
                <c:pt idx="2">
                  <c:v>0</c:v>
                </c:pt>
                <c:pt idx="3">
                  <c:v>0</c:v>
                </c:pt>
              </c:numCache>
            </c:numRef>
          </c:val>
          <c:extLst>
            <c:ext xmlns:c16="http://schemas.microsoft.com/office/drawing/2014/chart" uri="{C3380CC4-5D6E-409C-BE32-E72D297353CC}">
              <c16:uniqueId val="{00000000-112D-4388-9798-96B7A3B5EEC3}"/>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'D12'!$S$28:$S$31</c:f>
              <c:numCache>
                <c:formatCode>0%</c:formatCode>
                <c:ptCount val="4"/>
                <c:pt idx="0">
                  <c:v>1</c:v>
                </c:pt>
                <c:pt idx="1">
                  <c:v>0</c:v>
                </c:pt>
                <c:pt idx="2">
                  <c:v>0</c:v>
                </c:pt>
                <c:pt idx="3">
                  <c:v>0</c:v>
                </c:pt>
              </c:numCache>
            </c:numRef>
          </c:val>
          <c:extLst>
            <c:ext xmlns:c16="http://schemas.microsoft.com/office/drawing/2014/chart" uri="{C3380CC4-5D6E-409C-BE32-E72D297353CC}">
              <c16:uniqueId val="{00000000-F74F-479E-B93F-BA7FB5909D34}"/>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'D13'!$S$28:$S$31</c:f>
              <c:numCache>
                <c:formatCode>0%</c:formatCode>
                <c:ptCount val="4"/>
                <c:pt idx="0">
                  <c:v>0.8</c:v>
                </c:pt>
                <c:pt idx="1">
                  <c:v>6.6666666666666666E-2</c:v>
                </c:pt>
                <c:pt idx="2">
                  <c:v>0.13333333333333333</c:v>
                </c:pt>
                <c:pt idx="3">
                  <c:v>0</c:v>
                </c:pt>
              </c:numCache>
            </c:numRef>
          </c:val>
          <c:extLst>
            <c:ext xmlns:c16="http://schemas.microsoft.com/office/drawing/2014/chart" uri="{C3380CC4-5D6E-409C-BE32-E72D297353CC}">
              <c16:uniqueId val="{00000000-1D0E-46B6-BAA6-A24CA984A239}"/>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'D3'!$S$28:$S$31</c:f>
              <c:numCache>
                <c:formatCode>0%</c:formatCode>
                <c:ptCount val="4"/>
                <c:pt idx="0">
                  <c:v>1</c:v>
                </c:pt>
                <c:pt idx="1">
                  <c:v>0</c:v>
                </c:pt>
                <c:pt idx="2">
                  <c:v>0</c:v>
                </c:pt>
                <c:pt idx="3">
                  <c:v>0</c:v>
                </c:pt>
              </c:numCache>
            </c:numRef>
          </c:val>
          <c:extLst>
            <c:ext xmlns:c16="http://schemas.microsoft.com/office/drawing/2014/chart" uri="{C3380CC4-5D6E-409C-BE32-E72D297353CC}">
              <c16:uniqueId val="{00000000-77D0-4D5E-95E2-A636296F62FE}"/>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'D5'!$S$28:$S$31</c:f>
              <c:numCache>
                <c:formatCode>0%</c:formatCode>
                <c:ptCount val="4"/>
                <c:pt idx="0">
                  <c:v>1</c:v>
                </c:pt>
                <c:pt idx="1">
                  <c:v>0</c:v>
                </c:pt>
                <c:pt idx="2">
                  <c:v>0</c:v>
                </c:pt>
                <c:pt idx="3">
                  <c:v>0</c:v>
                </c:pt>
              </c:numCache>
            </c:numRef>
          </c:val>
          <c:extLst>
            <c:ext xmlns:c16="http://schemas.microsoft.com/office/drawing/2014/chart" uri="{C3380CC4-5D6E-409C-BE32-E72D297353CC}">
              <c16:uniqueId val="{00000000-FF44-4CE3-8535-B2D068F5F51E}"/>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'D6'!$S$28:$S$31</c:f>
              <c:numCache>
                <c:formatCode>0%</c:formatCode>
                <c:ptCount val="4"/>
                <c:pt idx="0">
                  <c:v>1</c:v>
                </c:pt>
                <c:pt idx="1">
                  <c:v>0</c:v>
                </c:pt>
                <c:pt idx="2">
                  <c:v>0</c:v>
                </c:pt>
                <c:pt idx="3">
                  <c:v>0</c:v>
                </c:pt>
              </c:numCache>
            </c:numRef>
          </c:val>
          <c:extLst>
            <c:ext xmlns:c16="http://schemas.microsoft.com/office/drawing/2014/chart" uri="{C3380CC4-5D6E-409C-BE32-E72D297353CC}">
              <c16:uniqueId val="{00000000-4590-41B7-97E5-0D067B24751A}"/>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'D7'!$S$28:$S$31</c:f>
              <c:numCache>
                <c:formatCode>0%</c:formatCode>
                <c:ptCount val="4"/>
                <c:pt idx="0">
                  <c:v>0.75</c:v>
                </c:pt>
                <c:pt idx="1">
                  <c:v>0</c:v>
                </c:pt>
                <c:pt idx="2">
                  <c:v>0.25</c:v>
                </c:pt>
                <c:pt idx="3">
                  <c:v>0</c:v>
                </c:pt>
              </c:numCache>
            </c:numRef>
          </c:val>
          <c:extLst>
            <c:ext xmlns:c16="http://schemas.microsoft.com/office/drawing/2014/chart" uri="{C3380CC4-5D6E-409C-BE32-E72D297353CC}">
              <c16:uniqueId val="{00000000-499A-48D2-8D8C-39907AD8F2F0}"/>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'D11'!$S$28:$S$31</c:f>
              <c:numCache>
                <c:formatCode>0%</c:formatCode>
                <c:ptCount val="4"/>
                <c:pt idx="0">
                  <c:v>1</c:v>
                </c:pt>
                <c:pt idx="1">
                  <c:v>0</c:v>
                </c:pt>
                <c:pt idx="2">
                  <c:v>0</c:v>
                </c:pt>
                <c:pt idx="3">
                  <c:v>0</c:v>
                </c:pt>
              </c:numCache>
            </c:numRef>
          </c:val>
          <c:extLst>
            <c:ext xmlns:c16="http://schemas.microsoft.com/office/drawing/2014/chart" uri="{C3380CC4-5D6E-409C-BE32-E72D297353CC}">
              <c16:uniqueId val="{00000000-6F06-4223-BD44-07BD867D8365}"/>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'D4'!$U$28:$U$31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6D5C-472E-8B08-06FCA32676A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'D8'!$U$28:$U$31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0511-44BE-B5FA-9611E26E4929}"/>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21 - O PGMAT, com o apoio da UFSC, tem disponibilizado recursos suficientes para a realização de suas atividades acadêmicas PRESENCIAIS (salas de aula, laboratórios) ?</a:t>
            </a:r>
          </a:p>
        </c:rich>
      </c:tx>
      <c:layout>
        <c:manualLayout>
          <c:xMode val="edge"/>
          <c:yMode val="edge"/>
          <c:x val="0.16593724607293039"/>
          <c:y val="2.5072539166920444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INST.'!$D$334:$D$337</c:f>
              <c:strCache>
                <c:ptCount val="4"/>
                <c:pt idx="0">
                  <c:v>MUITO BOM / ÓTIMO</c:v>
                </c:pt>
                <c:pt idx="1">
                  <c:v>BOM</c:v>
                </c:pt>
                <c:pt idx="2">
                  <c:v>RUIM / REGULAR</c:v>
                </c:pt>
                <c:pt idx="3">
                  <c:v>NÃO SE APLICA / NÃO SEI</c:v>
                </c:pt>
              </c:strCache>
            </c:strRef>
          </c:cat>
          <c:val>
            <c:numRef>
              <c:f>'Dashboard-1-AVALIAÇÃO INST.'!$F$334:$F$337</c:f>
              <c:numCache>
                <c:formatCode>0%</c:formatCode>
                <c:ptCount val="4"/>
                <c:pt idx="0">
                  <c:v>0.62222222222222223</c:v>
                </c:pt>
                <c:pt idx="1">
                  <c:v>0.2</c:v>
                </c:pt>
                <c:pt idx="2">
                  <c:v>2.2222222222222223E-2</c:v>
                </c:pt>
                <c:pt idx="3">
                  <c:v>0.15555555555555556</c:v>
                </c:pt>
              </c:numCache>
            </c:numRef>
          </c:val>
          <c:extLst>
            <c:ext xmlns:c16="http://schemas.microsoft.com/office/drawing/2014/chart" uri="{C3380CC4-5D6E-409C-BE32-E72D297353CC}">
              <c16:uniqueId val="{00000000-0FCF-407A-A4E7-CD403E24934F}"/>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CF-407A-A4E7-CD403E24934F}"/>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CF-407A-A4E7-CD403E24934F}"/>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CF-407A-A4E7-CD403E24934F}"/>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CF-407A-A4E7-CD403E24934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INST.'!$D$334:$D$337</c:f>
              <c:strCache>
                <c:ptCount val="4"/>
                <c:pt idx="0">
                  <c:v>MUITO BOM / ÓTIMO</c:v>
                </c:pt>
                <c:pt idx="1">
                  <c:v>BOM</c:v>
                </c:pt>
                <c:pt idx="2">
                  <c:v>RUIM / REGULAR</c:v>
                </c:pt>
                <c:pt idx="3">
                  <c:v>NÃO SE APLICA / NÃO SEI</c:v>
                </c:pt>
              </c:strCache>
            </c:strRef>
          </c:cat>
          <c:val>
            <c:numRef>
              <c:f>'Dashboard-1-AVALIAÇÃO INST.'!$E$334:$E$337</c:f>
              <c:numCache>
                <c:formatCode>0%</c:formatCode>
                <c:ptCount val="4"/>
                <c:pt idx="0">
                  <c:v>0.75862068965517238</c:v>
                </c:pt>
                <c:pt idx="1">
                  <c:v>3.4482758620689655E-2</c:v>
                </c:pt>
                <c:pt idx="2">
                  <c:v>3.4482758620689655E-2</c:v>
                </c:pt>
                <c:pt idx="3">
                  <c:v>0.17241379310344829</c:v>
                </c:pt>
              </c:numCache>
            </c:numRef>
          </c:val>
          <c:extLst>
            <c:ext xmlns:c16="http://schemas.microsoft.com/office/drawing/2014/chart" uri="{C3380CC4-5D6E-409C-BE32-E72D297353CC}">
              <c16:uniqueId val="{00000005-0FCF-407A-A4E7-CD403E24934F}"/>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'D9'!$U$28:$U$31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D886-4C68-8658-6EDB4C8E90D9}"/>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'D10'!$U$28:$U$31</c:f>
              <c:numCache>
                <c:formatCode>0%</c:formatCode>
                <c:ptCount val="4"/>
                <c:pt idx="0">
                  <c:v>0.83333333333333326</c:v>
                </c:pt>
                <c:pt idx="1">
                  <c:v>0</c:v>
                </c:pt>
                <c:pt idx="2">
                  <c:v>0</c:v>
                </c:pt>
                <c:pt idx="3">
                  <c:v>0.16666666666666666</c:v>
                </c:pt>
              </c:numCache>
            </c:numRef>
          </c:val>
          <c:extLst>
            <c:ext xmlns:c16="http://schemas.microsoft.com/office/drawing/2014/chart" uri="{C3380CC4-5D6E-409C-BE32-E72D297353CC}">
              <c16:uniqueId val="{00000000-0B1C-4E07-82E1-541D4F23A086}"/>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'D12'!$U$28:$U$31</c:f>
              <c:numCache>
                <c:formatCode>0%</c:formatCode>
                <c:ptCount val="4"/>
                <c:pt idx="0">
                  <c:v>1</c:v>
                </c:pt>
                <c:pt idx="1">
                  <c:v>0</c:v>
                </c:pt>
                <c:pt idx="2">
                  <c:v>0</c:v>
                </c:pt>
                <c:pt idx="3">
                  <c:v>0</c:v>
                </c:pt>
              </c:numCache>
            </c:numRef>
          </c:val>
          <c:extLst>
            <c:ext xmlns:c16="http://schemas.microsoft.com/office/drawing/2014/chart" uri="{C3380CC4-5D6E-409C-BE32-E72D297353CC}">
              <c16:uniqueId val="{00000000-E4F7-44B5-AD45-F11DEA82650D}"/>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'D13'!$U$28:$U$31</c:f>
              <c:numCache>
                <c:formatCode>0%</c:formatCode>
                <c:ptCount val="4"/>
                <c:pt idx="0">
                  <c:v>0.60000000000000009</c:v>
                </c:pt>
                <c:pt idx="1">
                  <c:v>0.2</c:v>
                </c:pt>
                <c:pt idx="2">
                  <c:v>6.6666666666666666E-2</c:v>
                </c:pt>
                <c:pt idx="3">
                  <c:v>0.13333333333333333</c:v>
                </c:pt>
              </c:numCache>
            </c:numRef>
          </c:val>
          <c:extLst>
            <c:ext xmlns:c16="http://schemas.microsoft.com/office/drawing/2014/chart" uri="{C3380CC4-5D6E-409C-BE32-E72D297353CC}">
              <c16:uniqueId val="{00000000-B77C-426D-B274-2CD27348D959}"/>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'D3'!$U$28:$U$31</c:f>
              <c:numCache>
                <c:formatCode>0%</c:formatCode>
                <c:ptCount val="4"/>
                <c:pt idx="0">
                  <c:v>0.8</c:v>
                </c:pt>
                <c:pt idx="1">
                  <c:v>0</c:v>
                </c:pt>
                <c:pt idx="2">
                  <c:v>0</c:v>
                </c:pt>
                <c:pt idx="3">
                  <c:v>0.2</c:v>
                </c:pt>
              </c:numCache>
            </c:numRef>
          </c:val>
          <c:extLst>
            <c:ext xmlns:c16="http://schemas.microsoft.com/office/drawing/2014/chart" uri="{C3380CC4-5D6E-409C-BE32-E72D297353CC}">
              <c16:uniqueId val="{00000000-3778-423F-A227-6D94B735F66F}"/>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'D5'!$U$28:$U$31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5F32-4A15-AE2C-FD647DB055B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'D6'!$U$28:$U$31</c:f>
              <c:numCache>
                <c:formatCode>0%</c:formatCode>
                <c:ptCount val="4"/>
                <c:pt idx="0">
                  <c:v>0.8</c:v>
                </c:pt>
                <c:pt idx="1">
                  <c:v>0</c:v>
                </c:pt>
                <c:pt idx="2">
                  <c:v>0</c:v>
                </c:pt>
                <c:pt idx="3">
                  <c:v>0.2</c:v>
                </c:pt>
              </c:numCache>
            </c:numRef>
          </c:val>
          <c:extLst>
            <c:ext xmlns:c16="http://schemas.microsoft.com/office/drawing/2014/chart" uri="{C3380CC4-5D6E-409C-BE32-E72D297353CC}">
              <c16:uniqueId val="{00000000-B689-40B8-AEDF-DEF8BC22D9A3}"/>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'D7'!$U$28:$U$31</c:f>
              <c:numCache>
                <c:formatCode>0%</c:formatCode>
                <c:ptCount val="4"/>
                <c:pt idx="0">
                  <c:v>0.5</c:v>
                </c:pt>
                <c:pt idx="1">
                  <c:v>0.5</c:v>
                </c:pt>
                <c:pt idx="2">
                  <c:v>0</c:v>
                </c:pt>
                <c:pt idx="3">
                  <c:v>0</c:v>
                </c:pt>
              </c:numCache>
            </c:numRef>
          </c:val>
          <c:extLst>
            <c:ext xmlns:c16="http://schemas.microsoft.com/office/drawing/2014/chart" uri="{C3380CC4-5D6E-409C-BE32-E72D297353CC}">
              <c16:uniqueId val="{00000000-B8A7-4623-8E04-E3C49CD268B6}"/>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'D11'!$U$28:$U$31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5B7D-40F0-B448-311AB81E0278}"/>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'D4'!$V$28:$V$31</c:f>
              <c:numCache>
                <c:formatCode>0%</c:formatCode>
                <c:ptCount val="4"/>
                <c:pt idx="0">
                  <c:v>1</c:v>
                </c:pt>
                <c:pt idx="1">
                  <c:v>0</c:v>
                </c:pt>
                <c:pt idx="2">
                  <c:v>0</c:v>
                </c:pt>
                <c:pt idx="3">
                  <c:v>0</c:v>
                </c:pt>
              </c:numCache>
            </c:numRef>
          </c:val>
          <c:extLst>
            <c:ext xmlns:c16="http://schemas.microsoft.com/office/drawing/2014/chart" uri="{C3380CC4-5D6E-409C-BE32-E72D297353CC}">
              <c16:uniqueId val="{00000000-73CF-4642-8654-12DE02D2A446}"/>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300" baseline="0"/>
              <a:t>21 - </a:t>
            </a:r>
            <a:r>
              <a:rPr lang="pt-BR" sz="1300" b="0" i="0" u="none" strike="noStrike" baseline="0">
                <a:effectLst/>
              </a:rPr>
              <a:t>O PGMAT, com o apoio da UFSC, tem disponibilizado recursos suficientes para a realização de suas atividades acadêmicas PRESENCIAIS (salas de aula, laboratórios) ?</a:t>
            </a:r>
            <a:endParaRPr lang="pt-BR" sz="1300"/>
          </a:p>
        </c:rich>
      </c:tx>
      <c:layout>
        <c:manualLayout>
          <c:xMode val="edge"/>
          <c:yMode val="edge"/>
          <c:x val="0.18787546460897589"/>
          <c:y val="1.595785524101248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INST.'!$T$334:$T$337</c:f>
              <c:strCache>
                <c:ptCount val="4"/>
                <c:pt idx="0">
                  <c:v>MUITO BOM / ÓTIMO</c:v>
                </c:pt>
                <c:pt idx="1">
                  <c:v>BOM</c:v>
                </c:pt>
                <c:pt idx="2">
                  <c:v>RUIM / REGULAR</c:v>
                </c:pt>
                <c:pt idx="3">
                  <c:v>NÃO SE APLICA / NÃO SEI</c:v>
                </c:pt>
              </c:strCache>
            </c:strRef>
          </c:cat>
          <c:val>
            <c:numRef>
              <c:f>'Dashboard-1-AVALIAÇÃO INST.'!$U$334:$U$337</c:f>
              <c:numCache>
                <c:formatCode>0%</c:formatCode>
                <c:ptCount val="4"/>
                <c:pt idx="0">
                  <c:v>0.69902912621359214</c:v>
                </c:pt>
                <c:pt idx="1">
                  <c:v>0.10679611650485436</c:v>
                </c:pt>
                <c:pt idx="2">
                  <c:v>2.9126213592233007E-2</c:v>
                </c:pt>
                <c:pt idx="3">
                  <c:v>0.1650485436893204</c:v>
                </c:pt>
              </c:numCache>
            </c:numRef>
          </c:val>
          <c:extLst>
            <c:ext xmlns:c16="http://schemas.microsoft.com/office/drawing/2014/chart" uri="{C3380CC4-5D6E-409C-BE32-E72D297353CC}">
              <c16:uniqueId val="{00000000-16BD-4793-89AF-F8810CAE703D}"/>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'D8'!$V$28:$V$31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8269-44FC-8F48-CE25124AC86E}"/>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'D9'!$V$28:$V$31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F9F1-465B-AA9B-8A4BED61040A}"/>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'D10'!$V$28:$V$31</c:f>
              <c:numCache>
                <c:formatCode>0%</c:formatCode>
                <c:ptCount val="4"/>
                <c:pt idx="0">
                  <c:v>0.83333333333333326</c:v>
                </c:pt>
                <c:pt idx="1">
                  <c:v>0</c:v>
                </c:pt>
                <c:pt idx="2">
                  <c:v>0</c:v>
                </c:pt>
                <c:pt idx="3">
                  <c:v>0.16666666666666666</c:v>
                </c:pt>
              </c:numCache>
            </c:numRef>
          </c:val>
          <c:extLst>
            <c:ext xmlns:c16="http://schemas.microsoft.com/office/drawing/2014/chart" uri="{C3380CC4-5D6E-409C-BE32-E72D297353CC}">
              <c16:uniqueId val="{00000000-EBAC-4C22-8C2B-7CEF564DC396}"/>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'D12'!$V$28:$V$31</c:f>
              <c:numCache>
                <c:formatCode>0%</c:formatCode>
                <c:ptCount val="4"/>
                <c:pt idx="0">
                  <c:v>1</c:v>
                </c:pt>
                <c:pt idx="1">
                  <c:v>0</c:v>
                </c:pt>
                <c:pt idx="2">
                  <c:v>0</c:v>
                </c:pt>
                <c:pt idx="3">
                  <c:v>0</c:v>
                </c:pt>
              </c:numCache>
            </c:numRef>
          </c:val>
          <c:extLst>
            <c:ext xmlns:c16="http://schemas.microsoft.com/office/drawing/2014/chart" uri="{C3380CC4-5D6E-409C-BE32-E72D297353CC}">
              <c16:uniqueId val="{00000000-E541-42F6-800F-91E3641E576E}"/>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'D13'!$V$28:$V$31</c:f>
              <c:numCache>
                <c:formatCode>0%</c:formatCode>
                <c:ptCount val="4"/>
                <c:pt idx="0">
                  <c:v>0.8666666666666667</c:v>
                </c:pt>
                <c:pt idx="1">
                  <c:v>0</c:v>
                </c:pt>
                <c:pt idx="2">
                  <c:v>0</c:v>
                </c:pt>
                <c:pt idx="3">
                  <c:v>0.13333333333333333</c:v>
                </c:pt>
              </c:numCache>
            </c:numRef>
          </c:val>
          <c:extLst>
            <c:ext xmlns:c16="http://schemas.microsoft.com/office/drawing/2014/chart" uri="{C3380CC4-5D6E-409C-BE32-E72D297353CC}">
              <c16:uniqueId val="{00000000-B288-4E4B-AF98-015D85C7373F}"/>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'D3'!$V$28:$V$31</c:f>
              <c:numCache>
                <c:formatCode>0%</c:formatCode>
                <c:ptCount val="4"/>
                <c:pt idx="0">
                  <c:v>0.8</c:v>
                </c:pt>
                <c:pt idx="1">
                  <c:v>0</c:v>
                </c:pt>
                <c:pt idx="2">
                  <c:v>0</c:v>
                </c:pt>
                <c:pt idx="3">
                  <c:v>0.2</c:v>
                </c:pt>
              </c:numCache>
            </c:numRef>
          </c:val>
          <c:extLst>
            <c:ext xmlns:c16="http://schemas.microsoft.com/office/drawing/2014/chart" uri="{C3380CC4-5D6E-409C-BE32-E72D297353CC}">
              <c16:uniqueId val="{00000000-7873-4732-9A1E-FD4A9301CB8F}"/>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'D5'!$V$28:$V$31</c:f>
              <c:numCache>
                <c:formatCode>0%</c:formatCode>
                <c:ptCount val="4"/>
                <c:pt idx="0">
                  <c:v>1</c:v>
                </c:pt>
                <c:pt idx="1">
                  <c:v>0</c:v>
                </c:pt>
                <c:pt idx="2">
                  <c:v>0</c:v>
                </c:pt>
                <c:pt idx="3">
                  <c:v>0</c:v>
                </c:pt>
              </c:numCache>
            </c:numRef>
          </c:val>
          <c:extLst>
            <c:ext xmlns:c16="http://schemas.microsoft.com/office/drawing/2014/chart" uri="{C3380CC4-5D6E-409C-BE32-E72D297353CC}">
              <c16:uniqueId val="{00000000-A59C-4F89-829A-237839B6191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'D6'!$V$28:$V$31</c:f>
              <c:numCache>
                <c:formatCode>0%</c:formatCode>
                <c:ptCount val="4"/>
                <c:pt idx="0">
                  <c:v>0.6</c:v>
                </c:pt>
                <c:pt idx="1">
                  <c:v>0</c:v>
                </c:pt>
                <c:pt idx="2">
                  <c:v>0.2</c:v>
                </c:pt>
                <c:pt idx="3">
                  <c:v>0.2</c:v>
                </c:pt>
              </c:numCache>
            </c:numRef>
          </c:val>
          <c:extLst>
            <c:ext xmlns:c16="http://schemas.microsoft.com/office/drawing/2014/chart" uri="{C3380CC4-5D6E-409C-BE32-E72D297353CC}">
              <c16:uniqueId val="{00000000-74D5-4957-8BB3-6D00AFA96140}"/>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'D7'!$V$28:$V$31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C982-4BB0-A608-61604DC29528}"/>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'D11'!$V$28:$V$31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4C7A-4A22-9310-4E59E7583BAF}"/>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22 - A qualidade da infraestrutura virtual no que se refere ao website do PGMAT tem sido suficiente ?</a:t>
            </a:r>
          </a:p>
        </c:rich>
      </c:tx>
      <c:layout>
        <c:manualLayout>
          <c:xMode val="edge"/>
          <c:yMode val="edge"/>
          <c:x val="0.16593724607293039"/>
          <c:y val="2.5072539166920444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INST.'!$D$354:$D$357</c:f>
              <c:strCache>
                <c:ptCount val="4"/>
                <c:pt idx="0">
                  <c:v>MUITO BOM / ÓTIMO</c:v>
                </c:pt>
                <c:pt idx="1">
                  <c:v>BOM</c:v>
                </c:pt>
                <c:pt idx="2">
                  <c:v>RUIM / REGULAR</c:v>
                </c:pt>
                <c:pt idx="3">
                  <c:v>NÃO SE APLICA / NÃO SEI</c:v>
                </c:pt>
              </c:strCache>
            </c:strRef>
          </c:cat>
          <c:val>
            <c:numRef>
              <c:f>'Dashboard-1-AVALIAÇÃO INST.'!$F$354:$F$357</c:f>
              <c:numCache>
                <c:formatCode>0%</c:formatCode>
                <c:ptCount val="4"/>
                <c:pt idx="0">
                  <c:v>0.66666666666666663</c:v>
                </c:pt>
                <c:pt idx="1">
                  <c:v>0.13333333333333333</c:v>
                </c:pt>
                <c:pt idx="2">
                  <c:v>6.6666666666666666E-2</c:v>
                </c:pt>
                <c:pt idx="3">
                  <c:v>0.13333333333333333</c:v>
                </c:pt>
              </c:numCache>
            </c:numRef>
          </c:val>
          <c:extLst>
            <c:ext xmlns:c16="http://schemas.microsoft.com/office/drawing/2014/chart" uri="{C3380CC4-5D6E-409C-BE32-E72D297353CC}">
              <c16:uniqueId val="{00000000-70D5-4F17-860B-A2E00D49E876}"/>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D5-4F17-860B-A2E00D49E876}"/>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D5-4F17-860B-A2E00D49E876}"/>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D5-4F17-860B-A2E00D49E876}"/>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D5-4F17-860B-A2E00D49E87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INST.'!$D$354:$D$357</c:f>
              <c:strCache>
                <c:ptCount val="4"/>
                <c:pt idx="0">
                  <c:v>MUITO BOM / ÓTIMO</c:v>
                </c:pt>
                <c:pt idx="1">
                  <c:v>BOM</c:v>
                </c:pt>
                <c:pt idx="2">
                  <c:v>RUIM / REGULAR</c:v>
                </c:pt>
                <c:pt idx="3">
                  <c:v>NÃO SE APLICA / NÃO SEI</c:v>
                </c:pt>
              </c:strCache>
            </c:strRef>
          </c:cat>
          <c:val>
            <c:numRef>
              <c:f>'Dashboard-1-AVALIAÇÃO INST.'!$E$354:$E$357</c:f>
              <c:numCache>
                <c:formatCode>0%</c:formatCode>
                <c:ptCount val="4"/>
                <c:pt idx="0">
                  <c:v>0.68965517241379315</c:v>
                </c:pt>
                <c:pt idx="1">
                  <c:v>0.1206896551724138</c:v>
                </c:pt>
                <c:pt idx="2">
                  <c:v>1.7241379310344827E-2</c:v>
                </c:pt>
                <c:pt idx="3">
                  <c:v>0.17241379310344829</c:v>
                </c:pt>
              </c:numCache>
            </c:numRef>
          </c:val>
          <c:extLst>
            <c:ext xmlns:c16="http://schemas.microsoft.com/office/drawing/2014/chart" uri="{C3380CC4-5D6E-409C-BE32-E72D297353CC}">
              <c16:uniqueId val="{00000005-70D5-4F17-860B-A2E00D49E876}"/>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'D4'!$W$28:$W$31</c:f>
              <c:numCache>
                <c:formatCode>0%</c:formatCode>
                <c:ptCount val="4"/>
                <c:pt idx="0">
                  <c:v>1</c:v>
                </c:pt>
                <c:pt idx="1">
                  <c:v>0</c:v>
                </c:pt>
                <c:pt idx="2">
                  <c:v>0</c:v>
                </c:pt>
                <c:pt idx="3">
                  <c:v>0</c:v>
                </c:pt>
              </c:numCache>
            </c:numRef>
          </c:val>
          <c:extLst>
            <c:ext xmlns:c16="http://schemas.microsoft.com/office/drawing/2014/chart" uri="{C3380CC4-5D6E-409C-BE32-E72D297353CC}">
              <c16:uniqueId val="{00000000-A6E8-45EC-98BE-A5BC2BBF5C08}"/>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'D8'!$W$28:$W$31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6E8F-4B06-BB02-A8212500595F}"/>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'D9'!$W$28:$W$31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D5F9-40E6-AE0E-0B1C81B9FE84}"/>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'D10'!$W$28:$W$31</c:f>
              <c:numCache>
                <c:formatCode>0%</c:formatCode>
                <c:ptCount val="4"/>
                <c:pt idx="0">
                  <c:v>0.83333333333333326</c:v>
                </c:pt>
                <c:pt idx="1">
                  <c:v>0</c:v>
                </c:pt>
                <c:pt idx="2">
                  <c:v>0</c:v>
                </c:pt>
                <c:pt idx="3">
                  <c:v>0.16666666666666666</c:v>
                </c:pt>
              </c:numCache>
            </c:numRef>
          </c:val>
          <c:extLst>
            <c:ext xmlns:c16="http://schemas.microsoft.com/office/drawing/2014/chart" uri="{C3380CC4-5D6E-409C-BE32-E72D297353CC}">
              <c16:uniqueId val="{00000000-861C-4371-840C-5178F1CCF6F2}"/>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'D12'!$W$28:$W$31</c:f>
              <c:numCache>
                <c:formatCode>0%</c:formatCode>
                <c:ptCount val="4"/>
                <c:pt idx="0">
                  <c:v>1</c:v>
                </c:pt>
                <c:pt idx="1">
                  <c:v>0</c:v>
                </c:pt>
                <c:pt idx="2">
                  <c:v>0</c:v>
                </c:pt>
                <c:pt idx="3">
                  <c:v>0</c:v>
                </c:pt>
              </c:numCache>
            </c:numRef>
          </c:val>
          <c:extLst>
            <c:ext xmlns:c16="http://schemas.microsoft.com/office/drawing/2014/chart" uri="{C3380CC4-5D6E-409C-BE32-E72D297353CC}">
              <c16:uniqueId val="{00000000-A9FF-4B03-B859-8163B64761B4}"/>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'D13'!$W$28:$W$31</c:f>
              <c:numCache>
                <c:formatCode>0%</c:formatCode>
                <c:ptCount val="4"/>
                <c:pt idx="0">
                  <c:v>0.66666666666666674</c:v>
                </c:pt>
                <c:pt idx="1">
                  <c:v>0.2</c:v>
                </c:pt>
                <c:pt idx="2">
                  <c:v>0</c:v>
                </c:pt>
                <c:pt idx="3">
                  <c:v>0.13333333333333333</c:v>
                </c:pt>
              </c:numCache>
            </c:numRef>
          </c:val>
          <c:extLst>
            <c:ext xmlns:c16="http://schemas.microsoft.com/office/drawing/2014/chart" uri="{C3380CC4-5D6E-409C-BE32-E72D297353CC}">
              <c16:uniqueId val="{00000000-4ECA-4828-95EE-CAFAB8CEC37A}"/>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'D3'!$W$28:$W$31</c:f>
              <c:numCache>
                <c:formatCode>0%</c:formatCode>
                <c:ptCount val="4"/>
                <c:pt idx="0">
                  <c:v>0.6</c:v>
                </c:pt>
                <c:pt idx="1">
                  <c:v>0.2</c:v>
                </c:pt>
                <c:pt idx="2">
                  <c:v>0</c:v>
                </c:pt>
                <c:pt idx="3">
                  <c:v>0.2</c:v>
                </c:pt>
              </c:numCache>
            </c:numRef>
          </c:val>
          <c:extLst>
            <c:ext xmlns:c16="http://schemas.microsoft.com/office/drawing/2014/chart" uri="{C3380CC4-5D6E-409C-BE32-E72D297353CC}">
              <c16:uniqueId val="{00000000-09D1-4E8C-A686-DC64DA0CEC95}"/>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'D5'!$W$28:$W$31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BECB-4C88-B545-0A370924B95B}"/>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'D6'!$W$28:$W$31</c:f>
              <c:numCache>
                <c:formatCode>0%</c:formatCode>
                <c:ptCount val="4"/>
                <c:pt idx="0">
                  <c:v>0.8</c:v>
                </c:pt>
                <c:pt idx="1">
                  <c:v>0</c:v>
                </c:pt>
                <c:pt idx="2">
                  <c:v>0</c:v>
                </c:pt>
                <c:pt idx="3">
                  <c:v>0.2</c:v>
                </c:pt>
              </c:numCache>
            </c:numRef>
          </c:val>
          <c:extLst>
            <c:ext xmlns:c16="http://schemas.microsoft.com/office/drawing/2014/chart" uri="{C3380CC4-5D6E-409C-BE32-E72D297353CC}">
              <c16:uniqueId val="{00000000-DA81-4D5C-B5CE-66AA443510C9}"/>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'D7'!$W$28:$W$31</c:f>
              <c:numCache>
                <c:formatCode>0%</c:formatCode>
                <c:ptCount val="4"/>
                <c:pt idx="0">
                  <c:v>1</c:v>
                </c:pt>
                <c:pt idx="1">
                  <c:v>0</c:v>
                </c:pt>
                <c:pt idx="2">
                  <c:v>0</c:v>
                </c:pt>
                <c:pt idx="3">
                  <c:v>0</c:v>
                </c:pt>
              </c:numCache>
            </c:numRef>
          </c:val>
          <c:extLst>
            <c:ext xmlns:c16="http://schemas.microsoft.com/office/drawing/2014/chart" uri="{C3380CC4-5D6E-409C-BE32-E72D297353CC}">
              <c16:uniqueId val="{00000000-BE8F-49C9-A877-29E964E67D43}"/>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06</a:t>
            </a:r>
            <a:r>
              <a:rPr lang="pt-BR" baseline="0"/>
              <a:t> - </a:t>
            </a:r>
            <a:r>
              <a:rPr lang="pt-BR"/>
              <a:t>O planejamento estratégico (objetivos e metas) tem sido cumprido no PGMAT ?</a:t>
            </a: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dLbl>
              <c:idx val="1"/>
              <c:layout>
                <c:manualLayout>
                  <c:x val="1.3067674260951852E-2"/>
                  <c:y val="3.24255871073823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21-224C-A31E-33998D769CC5}"/>
                </c:ext>
              </c:extLst>
            </c:dLbl>
            <c:dLbl>
              <c:idx val="2"/>
              <c:layout>
                <c:manualLayout>
                  <c:x val="1.52456199711104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1-224C-A31E-33998D769CC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INST.'!$T$35:$T$38</c:f>
              <c:strCache>
                <c:ptCount val="4"/>
                <c:pt idx="0">
                  <c:v>MUITO BOM / ÓTIMO</c:v>
                </c:pt>
                <c:pt idx="1">
                  <c:v>BOM</c:v>
                </c:pt>
                <c:pt idx="2">
                  <c:v>RUIM / REGULAR</c:v>
                </c:pt>
                <c:pt idx="3">
                  <c:v>NÃO SE APLICA / NÃO SEI</c:v>
                </c:pt>
              </c:strCache>
            </c:strRef>
          </c:cat>
          <c:val>
            <c:numRef>
              <c:f>'Dashboard-1-AVALIAÇÃO INST.'!$U$35:$U$38</c:f>
              <c:numCache>
                <c:formatCode>0%</c:formatCode>
                <c:ptCount val="4"/>
                <c:pt idx="0">
                  <c:v>0.5145631067961165</c:v>
                </c:pt>
                <c:pt idx="1">
                  <c:v>7.7669902912621352E-2</c:v>
                </c:pt>
                <c:pt idx="2">
                  <c:v>3.8834951456310676E-2</c:v>
                </c:pt>
                <c:pt idx="3">
                  <c:v>0.36893203883495146</c:v>
                </c:pt>
              </c:numCache>
            </c:numRef>
          </c:val>
          <c:extLst>
            <c:ext xmlns:c16="http://schemas.microsoft.com/office/drawing/2014/chart" uri="{C3380CC4-5D6E-409C-BE32-E72D297353CC}">
              <c16:uniqueId val="{00000000-7D2A-4504-96B1-9EAED8057DC2}"/>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300" baseline="0"/>
              <a:t>22 - </a:t>
            </a:r>
            <a:r>
              <a:rPr lang="pt-BR" sz="1300" b="0" i="0" u="none" strike="noStrike" baseline="0">
                <a:effectLst/>
              </a:rPr>
              <a:t>A qualidade da infraestrutura virtual no que se refere ao website do PGMAT tem sido suficiente ?</a:t>
            </a:r>
            <a:endParaRPr lang="pt-BR" sz="1300"/>
          </a:p>
        </c:rich>
      </c:tx>
      <c:layout>
        <c:manualLayout>
          <c:xMode val="edge"/>
          <c:yMode val="edge"/>
          <c:x val="0.18787546460897589"/>
          <c:y val="1.595785524101248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INST.'!$T$353:$T$356</c:f>
              <c:strCache>
                <c:ptCount val="4"/>
                <c:pt idx="0">
                  <c:v>MUITO BOM / ÓTIMO</c:v>
                </c:pt>
                <c:pt idx="1">
                  <c:v>BOM</c:v>
                </c:pt>
                <c:pt idx="2">
                  <c:v>RUIM / REGULAR</c:v>
                </c:pt>
                <c:pt idx="3">
                  <c:v>NÃO SE APLICA / NÃO SEI</c:v>
                </c:pt>
              </c:strCache>
            </c:strRef>
          </c:cat>
          <c:val>
            <c:numRef>
              <c:f>'Dashboard-1-AVALIAÇÃO INST.'!$U$353:$U$356</c:f>
              <c:numCache>
                <c:formatCode>0%</c:formatCode>
                <c:ptCount val="4"/>
                <c:pt idx="0">
                  <c:v>0.67961165048543692</c:v>
                </c:pt>
                <c:pt idx="1">
                  <c:v>0.12621359223300971</c:v>
                </c:pt>
                <c:pt idx="2">
                  <c:v>3.8834951456310676E-2</c:v>
                </c:pt>
                <c:pt idx="3">
                  <c:v>0.1553398058252427</c:v>
                </c:pt>
              </c:numCache>
            </c:numRef>
          </c:val>
          <c:extLst>
            <c:ext xmlns:c16="http://schemas.microsoft.com/office/drawing/2014/chart" uri="{C3380CC4-5D6E-409C-BE32-E72D297353CC}">
              <c16:uniqueId val="{00000000-2D59-4796-B2A7-FA52EDE46FC4}"/>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'D11'!$W$28:$W$31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CCF2-4217-B8FB-754CA359756C}"/>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'D4'!$X$28:$X$31</c:f>
              <c:numCache>
                <c:formatCode>0%</c:formatCode>
                <c:ptCount val="4"/>
                <c:pt idx="0">
                  <c:v>0</c:v>
                </c:pt>
                <c:pt idx="1">
                  <c:v>0.25</c:v>
                </c:pt>
                <c:pt idx="2">
                  <c:v>0.5</c:v>
                </c:pt>
                <c:pt idx="3">
                  <c:v>0.25</c:v>
                </c:pt>
              </c:numCache>
            </c:numRef>
          </c:val>
          <c:extLst>
            <c:ext xmlns:c16="http://schemas.microsoft.com/office/drawing/2014/chart" uri="{C3380CC4-5D6E-409C-BE32-E72D297353CC}">
              <c16:uniqueId val="{00000000-2FAD-4CEC-B10F-D0E91DCB05BB}"/>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'D8'!$X$28:$X$31</c:f>
              <c:numCache>
                <c:formatCode>0%</c:formatCode>
                <c:ptCount val="4"/>
                <c:pt idx="0">
                  <c:v>0.5</c:v>
                </c:pt>
                <c:pt idx="1">
                  <c:v>0.25</c:v>
                </c:pt>
                <c:pt idx="2">
                  <c:v>0</c:v>
                </c:pt>
                <c:pt idx="3">
                  <c:v>0.25</c:v>
                </c:pt>
              </c:numCache>
            </c:numRef>
          </c:val>
          <c:extLst>
            <c:ext xmlns:c16="http://schemas.microsoft.com/office/drawing/2014/chart" uri="{C3380CC4-5D6E-409C-BE32-E72D297353CC}">
              <c16:uniqueId val="{00000000-60EE-4D68-86A4-699D1E1357A1}"/>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'D9'!$X$28:$X$31</c:f>
              <c:numCache>
                <c:formatCode>0%</c:formatCode>
                <c:ptCount val="4"/>
                <c:pt idx="0">
                  <c:v>0.5</c:v>
                </c:pt>
                <c:pt idx="1">
                  <c:v>0.125</c:v>
                </c:pt>
                <c:pt idx="2">
                  <c:v>0.125</c:v>
                </c:pt>
                <c:pt idx="3">
                  <c:v>0.25</c:v>
                </c:pt>
              </c:numCache>
            </c:numRef>
          </c:val>
          <c:extLst>
            <c:ext xmlns:c16="http://schemas.microsoft.com/office/drawing/2014/chart" uri="{C3380CC4-5D6E-409C-BE32-E72D297353CC}">
              <c16:uniqueId val="{00000000-992B-40F8-8D0A-EDDD27AE6985}"/>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'D10'!$X$28:$X$31</c:f>
              <c:numCache>
                <c:formatCode>0%</c:formatCode>
                <c:ptCount val="4"/>
                <c:pt idx="0">
                  <c:v>0.5</c:v>
                </c:pt>
                <c:pt idx="1">
                  <c:v>0.16666666666666666</c:v>
                </c:pt>
                <c:pt idx="2">
                  <c:v>0.16666666666666666</c:v>
                </c:pt>
                <c:pt idx="3">
                  <c:v>0.16666666666666666</c:v>
                </c:pt>
              </c:numCache>
            </c:numRef>
          </c:val>
          <c:extLst>
            <c:ext xmlns:c16="http://schemas.microsoft.com/office/drawing/2014/chart" uri="{C3380CC4-5D6E-409C-BE32-E72D297353CC}">
              <c16:uniqueId val="{00000000-CD37-4415-9CA2-03BE2B0DE358}"/>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'D12'!$X$28:$X$31</c:f>
              <c:numCache>
                <c:formatCode>0%</c:formatCode>
                <c:ptCount val="4"/>
                <c:pt idx="0">
                  <c:v>0.66666666666666663</c:v>
                </c:pt>
                <c:pt idx="1">
                  <c:v>0</c:v>
                </c:pt>
                <c:pt idx="2">
                  <c:v>0.33333333333333331</c:v>
                </c:pt>
                <c:pt idx="3">
                  <c:v>0</c:v>
                </c:pt>
              </c:numCache>
            </c:numRef>
          </c:val>
          <c:extLst>
            <c:ext xmlns:c16="http://schemas.microsoft.com/office/drawing/2014/chart" uri="{C3380CC4-5D6E-409C-BE32-E72D297353CC}">
              <c16:uniqueId val="{00000000-1F9E-4EAE-9B0A-66578BF9A898}"/>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'D13'!$X$28:$X$31</c:f>
              <c:numCache>
                <c:formatCode>0%</c:formatCode>
                <c:ptCount val="4"/>
                <c:pt idx="0">
                  <c:v>0.46666666666666667</c:v>
                </c:pt>
                <c:pt idx="1">
                  <c:v>0.26666666666666666</c:v>
                </c:pt>
                <c:pt idx="2">
                  <c:v>0.13333333333333333</c:v>
                </c:pt>
                <c:pt idx="3">
                  <c:v>0.13333333333333333</c:v>
                </c:pt>
              </c:numCache>
            </c:numRef>
          </c:val>
          <c:extLst>
            <c:ext xmlns:c16="http://schemas.microsoft.com/office/drawing/2014/chart" uri="{C3380CC4-5D6E-409C-BE32-E72D297353CC}">
              <c16:uniqueId val="{00000000-AE18-49F6-88F9-7F05AB76D27E}"/>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'D3'!$X$28:$X$31</c:f>
              <c:numCache>
                <c:formatCode>0%</c:formatCode>
                <c:ptCount val="4"/>
                <c:pt idx="0">
                  <c:v>0.4</c:v>
                </c:pt>
                <c:pt idx="1">
                  <c:v>0.2</c:v>
                </c:pt>
                <c:pt idx="2">
                  <c:v>0.2</c:v>
                </c:pt>
                <c:pt idx="3">
                  <c:v>0.2</c:v>
                </c:pt>
              </c:numCache>
            </c:numRef>
          </c:val>
          <c:extLst>
            <c:ext xmlns:c16="http://schemas.microsoft.com/office/drawing/2014/chart" uri="{C3380CC4-5D6E-409C-BE32-E72D297353CC}">
              <c16:uniqueId val="{00000000-692E-4775-B7C8-BD58DED74EB2}"/>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'D5'!$X$28:$X$31</c:f>
              <c:numCache>
                <c:formatCode>0%</c:formatCode>
                <c:ptCount val="4"/>
                <c:pt idx="0">
                  <c:v>0</c:v>
                </c:pt>
                <c:pt idx="1">
                  <c:v>0.5</c:v>
                </c:pt>
                <c:pt idx="2">
                  <c:v>0</c:v>
                </c:pt>
                <c:pt idx="3">
                  <c:v>0.5</c:v>
                </c:pt>
              </c:numCache>
            </c:numRef>
          </c:val>
          <c:extLst>
            <c:ext xmlns:c16="http://schemas.microsoft.com/office/drawing/2014/chart" uri="{C3380CC4-5D6E-409C-BE32-E72D297353CC}">
              <c16:uniqueId val="{00000000-C80E-4EE7-830F-8A8CC0263311}"/>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'D6'!$X$28:$X$31</c:f>
              <c:numCache>
                <c:formatCode>0%</c:formatCode>
                <c:ptCount val="4"/>
                <c:pt idx="0">
                  <c:v>0.2</c:v>
                </c:pt>
                <c:pt idx="1">
                  <c:v>0.2</c:v>
                </c:pt>
                <c:pt idx="2">
                  <c:v>0.4</c:v>
                </c:pt>
                <c:pt idx="3">
                  <c:v>0.2</c:v>
                </c:pt>
              </c:numCache>
            </c:numRef>
          </c:val>
          <c:extLst>
            <c:ext xmlns:c16="http://schemas.microsoft.com/office/drawing/2014/chart" uri="{C3380CC4-5D6E-409C-BE32-E72D297353CC}">
              <c16:uniqueId val="{00000000-D7CF-40AB-8050-0A3EC437192E}"/>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23 - As disciplinas ofertadas pelo PGMAT têm sido suficientes em número por área de concentração ?</a:t>
            </a:r>
          </a:p>
        </c:rich>
      </c:tx>
      <c:layout>
        <c:manualLayout>
          <c:xMode val="edge"/>
          <c:yMode val="edge"/>
          <c:x val="0.16593724607293039"/>
          <c:y val="2.5072539166920444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INST.'!$D$374:$D$377</c:f>
              <c:strCache>
                <c:ptCount val="4"/>
                <c:pt idx="0">
                  <c:v>MUITO BOM / ÓTIMO</c:v>
                </c:pt>
                <c:pt idx="1">
                  <c:v>BOM</c:v>
                </c:pt>
                <c:pt idx="2">
                  <c:v>RUIM / REGULAR</c:v>
                </c:pt>
                <c:pt idx="3">
                  <c:v>NÃO SE APLICA / NÃO SEI</c:v>
                </c:pt>
              </c:strCache>
            </c:strRef>
          </c:cat>
          <c:val>
            <c:numRef>
              <c:f>'Dashboard-1-AVALIAÇÃO INST.'!$F$374:$F$377</c:f>
              <c:numCache>
                <c:formatCode>0%</c:formatCode>
                <c:ptCount val="4"/>
                <c:pt idx="0">
                  <c:v>0.48888888888888887</c:v>
                </c:pt>
                <c:pt idx="1">
                  <c:v>0.17777777777777778</c:v>
                </c:pt>
                <c:pt idx="2">
                  <c:v>0.2</c:v>
                </c:pt>
                <c:pt idx="3">
                  <c:v>0.13333333333333333</c:v>
                </c:pt>
              </c:numCache>
            </c:numRef>
          </c:val>
          <c:extLst>
            <c:ext xmlns:c16="http://schemas.microsoft.com/office/drawing/2014/chart" uri="{C3380CC4-5D6E-409C-BE32-E72D297353CC}">
              <c16:uniqueId val="{00000000-6C1E-4E59-A168-BEED424BBA36}"/>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E-4E59-A168-BEED424BBA36}"/>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1E-4E59-A168-BEED424BBA36}"/>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1E-4E59-A168-BEED424BBA36}"/>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1E-4E59-A168-BEED424BBA3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INST.'!$D$374:$D$377</c:f>
              <c:strCache>
                <c:ptCount val="4"/>
                <c:pt idx="0">
                  <c:v>MUITO BOM / ÓTIMO</c:v>
                </c:pt>
                <c:pt idx="1">
                  <c:v>BOM</c:v>
                </c:pt>
                <c:pt idx="2">
                  <c:v>RUIM / REGULAR</c:v>
                </c:pt>
                <c:pt idx="3">
                  <c:v>NÃO SE APLICA / NÃO SEI</c:v>
                </c:pt>
              </c:strCache>
            </c:strRef>
          </c:cat>
          <c:val>
            <c:numRef>
              <c:f>'Dashboard-1-AVALIAÇÃO INST.'!$E$374:$E$377</c:f>
              <c:numCache>
                <c:formatCode>0%</c:formatCode>
                <c:ptCount val="4"/>
                <c:pt idx="0">
                  <c:v>0.43103448275862066</c:v>
                </c:pt>
                <c:pt idx="1">
                  <c:v>0.22413793103448276</c:v>
                </c:pt>
                <c:pt idx="2">
                  <c:v>0.25862068965517243</c:v>
                </c:pt>
                <c:pt idx="3">
                  <c:v>8.6206896551724144E-2</c:v>
                </c:pt>
              </c:numCache>
            </c:numRef>
          </c:val>
          <c:extLst>
            <c:ext xmlns:c16="http://schemas.microsoft.com/office/drawing/2014/chart" uri="{C3380CC4-5D6E-409C-BE32-E72D297353CC}">
              <c16:uniqueId val="{00000005-6C1E-4E59-A168-BEED424BBA36}"/>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'D7'!$X$28:$X$31</c:f>
              <c:numCache>
                <c:formatCode>0%</c:formatCode>
                <c:ptCount val="4"/>
                <c:pt idx="0">
                  <c:v>0.25</c:v>
                </c:pt>
                <c:pt idx="1">
                  <c:v>0.25</c:v>
                </c:pt>
                <c:pt idx="2">
                  <c:v>0.5</c:v>
                </c:pt>
                <c:pt idx="3">
                  <c:v>0</c:v>
                </c:pt>
              </c:numCache>
            </c:numRef>
          </c:val>
          <c:extLst>
            <c:ext xmlns:c16="http://schemas.microsoft.com/office/drawing/2014/chart" uri="{C3380CC4-5D6E-409C-BE32-E72D297353CC}">
              <c16:uniqueId val="{00000000-6C4C-4173-B738-62D06A16B0CE}"/>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'D11'!$X$28:$X$31</c:f>
              <c:numCache>
                <c:formatCode>0%</c:formatCode>
                <c:ptCount val="4"/>
                <c:pt idx="0">
                  <c:v>0</c:v>
                </c:pt>
                <c:pt idx="1">
                  <c:v>0.5</c:v>
                </c:pt>
                <c:pt idx="2">
                  <c:v>0</c:v>
                </c:pt>
                <c:pt idx="3">
                  <c:v>0.5</c:v>
                </c:pt>
              </c:numCache>
            </c:numRef>
          </c:val>
          <c:extLst>
            <c:ext xmlns:c16="http://schemas.microsoft.com/office/drawing/2014/chart" uri="{C3380CC4-5D6E-409C-BE32-E72D297353CC}">
              <c16:uniqueId val="{00000000-FFC3-4E99-BD57-C845615F3594}"/>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'D4'!$Y$28:$Y$31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0200-46ED-911A-C93D9D4FEFD9}"/>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'D8'!$Y$28:$Y$31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5AD2-4F2F-AF94-74AF468194B2}"/>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'D9'!$Y$28:$Y$31</c:f>
              <c:numCache>
                <c:formatCode>0%</c:formatCode>
                <c:ptCount val="4"/>
                <c:pt idx="0">
                  <c:v>0.375</c:v>
                </c:pt>
                <c:pt idx="1">
                  <c:v>0.125</c:v>
                </c:pt>
                <c:pt idx="2">
                  <c:v>0.25</c:v>
                </c:pt>
                <c:pt idx="3">
                  <c:v>0.25</c:v>
                </c:pt>
              </c:numCache>
            </c:numRef>
          </c:val>
          <c:extLst>
            <c:ext xmlns:c16="http://schemas.microsoft.com/office/drawing/2014/chart" uri="{C3380CC4-5D6E-409C-BE32-E72D297353CC}">
              <c16:uniqueId val="{00000000-424D-42F4-B587-31391313712C}"/>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'D10'!$Y$28:$Y$31</c:f>
              <c:numCache>
                <c:formatCode>0%</c:formatCode>
                <c:ptCount val="4"/>
                <c:pt idx="0">
                  <c:v>0.66666666666666663</c:v>
                </c:pt>
                <c:pt idx="1">
                  <c:v>0.16666666666666666</c:v>
                </c:pt>
                <c:pt idx="2">
                  <c:v>0</c:v>
                </c:pt>
                <c:pt idx="3">
                  <c:v>0.16666666666666666</c:v>
                </c:pt>
              </c:numCache>
            </c:numRef>
          </c:val>
          <c:extLst>
            <c:ext xmlns:c16="http://schemas.microsoft.com/office/drawing/2014/chart" uri="{C3380CC4-5D6E-409C-BE32-E72D297353CC}">
              <c16:uniqueId val="{00000000-F98A-4F50-B89C-95DC0185260F}"/>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'D12'!$Y$28:$Y$31</c:f>
              <c:numCache>
                <c:formatCode>0%</c:formatCode>
                <c:ptCount val="4"/>
                <c:pt idx="0">
                  <c:v>1</c:v>
                </c:pt>
                <c:pt idx="1">
                  <c:v>0</c:v>
                </c:pt>
                <c:pt idx="2">
                  <c:v>0</c:v>
                </c:pt>
                <c:pt idx="3">
                  <c:v>0</c:v>
                </c:pt>
              </c:numCache>
            </c:numRef>
          </c:val>
          <c:extLst>
            <c:ext xmlns:c16="http://schemas.microsoft.com/office/drawing/2014/chart" uri="{C3380CC4-5D6E-409C-BE32-E72D297353CC}">
              <c16:uniqueId val="{00000000-BD43-478E-9608-F1FAD6841A32}"/>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'D13'!$Y$28:$Y$31</c:f>
              <c:numCache>
                <c:formatCode>0%</c:formatCode>
                <c:ptCount val="4"/>
                <c:pt idx="0">
                  <c:v>0.6</c:v>
                </c:pt>
                <c:pt idx="1">
                  <c:v>0.26666666666666666</c:v>
                </c:pt>
                <c:pt idx="2">
                  <c:v>0</c:v>
                </c:pt>
                <c:pt idx="3">
                  <c:v>0.13333333333333333</c:v>
                </c:pt>
              </c:numCache>
            </c:numRef>
          </c:val>
          <c:extLst>
            <c:ext xmlns:c16="http://schemas.microsoft.com/office/drawing/2014/chart" uri="{C3380CC4-5D6E-409C-BE32-E72D297353CC}">
              <c16:uniqueId val="{00000000-FC6E-462E-9094-F8134C685BE0}"/>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'D3'!$Y$28:$Y$31</c:f>
              <c:numCache>
                <c:formatCode>0%</c:formatCode>
                <c:ptCount val="4"/>
                <c:pt idx="0">
                  <c:v>0.60000000000000009</c:v>
                </c:pt>
                <c:pt idx="1">
                  <c:v>0.2</c:v>
                </c:pt>
                <c:pt idx="2">
                  <c:v>0</c:v>
                </c:pt>
                <c:pt idx="3">
                  <c:v>0.2</c:v>
                </c:pt>
              </c:numCache>
            </c:numRef>
          </c:val>
          <c:extLst>
            <c:ext xmlns:c16="http://schemas.microsoft.com/office/drawing/2014/chart" uri="{C3380CC4-5D6E-409C-BE32-E72D297353CC}">
              <c16:uniqueId val="{00000000-16A8-4A8A-97CF-A3532112407F}"/>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'D5'!$Y$28:$Y$31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014E-4020-84B6-118C69DC38F9}"/>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300" baseline="0"/>
              <a:t>23 - </a:t>
            </a:r>
            <a:r>
              <a:rPr lang="pt-BR" sz="1300" b="0" i="0" u="none" strike="noStrike" baseline="0">
                <a:effectLst/>
              </a:rPr>
              <a:t>As disciplinas ofertadas pelo PGMAT têm sido suficientes em número por área de concentração ?</a:t>
            </a:r>
            <a:endParaRPr lang="pt-BR" sz="1300"/>
          </a:p>
        </c:rich>
      </c:tx>
      <c:layout>
        <c:manualLayout>
          <c:xMode val="edge"/>
          <c:yMode val="edge"/>
          <c:x val="0.18787546460897589"/>
          <c:y val="1.595785524101248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INST.'!$T$373:$T$376</c:f>
              <c:strCache>
                <c:ptCount val="4"/>
                <c:pt idx="0">
                  <c:v>MUITO BOM / ÓTIMO</c:v>
                </c:pt>
                <c:pt idx="1">
                  <c:v>BOM</c:v>
                </c:pt>
                <c:pt idx="2">
                  <c:v>RUIM / REGULAR</c:v>
                </c:pt>
                <c:pt idx="3">
                  <c:v>NÃO SE APLICA / NÃO SEI</c:v>
                </c:pt>
              </c:strCache>
            </c:strRef>
          </c:cat>
          <c:val>
            <c:numRef>
              <c:f>'Dashboard-1-AVALIAÇÃO INST.'!$U$373:$U$376</c:f>
              <c:numCache>
                <c:formatCode>0%</c:formatCode>
                <c:ptCount val="4"/>
                <c:pt idx="0">
                  <c:v>0.4563106796116505</c:v>
                </c:pt>
                <c:pt idx="1">
                  <c:v>0.20388349514563106</c:v>
                </c:pt>
                <c:pt idx="2">
                  <c:v>0.23300970873786406</c:v>
                </c:pt>
                <c:pt idx="3">
                  <c:v>0.10679611650485436</c:v>
                </c:pt>
              </c:numCache>
            </c:numRef>
          </c:val>
          <c:extLst>
            <c:ext xmlns:c16="http://schemas.microsoft.com/office/drawing/2014/chart" uri="{C3380CC4-5D6E-409C-BE32-E72D297353CC}">
              <c16:uniqueId val="{00000000-739B-4B0D-8360-48641E1D28A4}"/>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'D6'!$Y$28:$Y$31</c:f>
              <c:numCache>
                <c:formatCode>0%</c:formatCode>
                <c:ptCount val="4"/>
                <c:pt idx="0">
                  <c:v>0.4</c:v>
                </c:pt>
                <c:pt idx="1">
                  <c:v>0.4</c:v>
                </c:pt>
                <c:pt idx="2">
                  <c:v>0</c:v>
                </c:pt>
                <c:pt idx="3">
                  <c:v>0.2</c:v>
                </c:pt>
              </c:numCache>
            </c:numRef>
          </c:val>
          <c:extLst>
            <c:ext xmlns:c16="http://schemas.microsoft.com/office/drawing/2014/chart" uri="{C3380CC4-5D6E-409C-BE32-E72D297353CC}">
              <c16:uniqueId val="{00000000-A716-4A4B-9837-CA113F8BE1AE}"/>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'D7'!$Y$28:$Y$31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10BA-4949-8C6D-B4B78610DB1F}"/>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'D11'!$Y$28:$Y$31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0276-4F5B-B481-E724DF45F592}"/>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'D4'!$Z$28:$Z$31</c:f>
              <c:numCache>
                <c:formatCode>0%</c:formatCode>
                <c:ptCount val="4"/>
                <c:pt idx="0">
                  <c:v>0.75</c:v>
                </c:pt>
                <c:pt idx="1">
                  <c:v>0</c:v>
                </c:pt>
                <c:pt idx="2">
                  <c:v>0.25</c:v>
                </c:pt>
                <c:pt idx="3">
                  <c:v>0</c:v>
                </c:pt>
              </c:numCache>
            </c:numRef>
          </c:val>
          <c:extLst>
            <c:ext xmlns:c16="http://schemas.microsoft.com/office/drawing/2014/chart" uri="{C3380CC4-5D6E-409C-BE32-E72D297353CC}">
              <c16:uniqueId val="{00000000-A1A7-4A5D-82DF-7DA778DF68B4}"/>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'D8'!$Z$28:$Z$31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96D7-49BE-B5E2-5B2898BAA233}"/>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'D9'!$Z$28:$Z$31</c:f>
              <c:numCache>
                <c:formatCode>0%</c:formatCode>
                <c:ptCount val="4"/>
                <c:pt idx="0">
                  <c:v>0.625</c:v>
                </c:pt>
                <c:pt idx="1">
                  <c:v>0.125</c:v>
                </c:pt>
                <c:pt idx="2">
                  <c:v>0</c:v>
                </c:pt>
                <c:pt idx="3">
                  <c:v>0.25</c:v>
                </c:pt>
              </c:numCache>
            </c:numRef>
          </c:val>
          <c:extLst>
            <c:ext xmlns:c16="http://schemas.microsoft.com/office/drawing/2014/chart" uri="{C3380CC4-5D6E-409C-BE32-E72D297353CC}">
              <c16:uniqueId val="{00000000-A8AC-4390-94DE-6A7F77D4D888}"/>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'D10'!$Z$28:$Z$31</c:f>
              <c:numCache>
                <c:formatCode>0%</c:formatCode>
                <c:ptCount val="4"/>
                <c:pt idx="0">
                  <c:v>0.5</c:v>
                </c:pt>
                <c:pt idx="1">
                  <c:v>0.16666666666666666</c:v>
                </c:pt>
                <c:pt idx="2">
                  <c:v>0.16666666666666666</c:v>
                </c:pt>
                <c:pt idx="3">
                  <c:v>0.16666666666666666</c:v>
                </c:pt>
              </c:numCache>
            </c:numRef>
          </c:val>
          <c:extLst>
            <c:ext xmlns:c16="http://schemas.microsoft.com/office/drawing/2014/chart" uri="{C3380CC4-5D6E-409C-BE32-E72D297353CC}">
              <c16:uniqueId val="{00000000-41B6-44EE-9C6F-BDE61ACED454}"/>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'D12'!$Z$28:$Z$31</c:f>
              <c:numCache>
                <c:formatCode>0%</c:formatCode>
                <c:ptCount val="4"/>
                <c:pt idx="0">
                  <c:v>1</c:v>
                </c:pt>
                <c:pt idx="1">
                  <c:v>0</c:v>
                </c:pt>
                <c:pt idx="2">
                  <c:v>0</c:v>
                </c:pt>
                <c:pt idx="3">
                  <c:v>0</c:v>
                </c:pt>
              </c:numCache>
            </c:numRef>
          </c:val>
          <c:extLst>
            <c:ext xmlns:c16="http://schemas.microsoft.com/office/drawing/2014/chart" uri="{C3380CC4-5D6E-409C-BE32-E72D297353CC}">
              <c16:uniqueId val="{00000000-BB50-44A5-A817-EB3051BEFBE9}"/>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'D13'!$Z$28:$Z$31</c:f>
              <c:numCache>
                <c:formatCode>0%</c:formatCode>
                <c:ptCount val="4"/>
                <c:pt idx="0">
                  <c:v>0.6</c:v>
                </c:pt>
                <c:pt idx="1">
                  <c:v>0.13333333333333333</c:v>
                </c:pt>
                <c:pt idx="2">
                  <c:v>0.13333333333333333</c:v>
                </c:pt>
                <c:pt idx="3">
                  <c:v>0.13333333333333333</c:v>
                </c:pt>
              </c:numCache>
            </c:numRef>
          </c:val>
          <c:extLst>
            <c:ext xmlns:c16="http://schemas.microsoft.com/office/drawing/2014/chart" uri="{C3380CC4-5D6E-409C-BE32-E72D297353CC}">
              <c16:uniqueId val="{00000000-F832-47B8-A34A-00A075F63613}"/>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'D3'!$Z$28:$Z$31</c:f>
              <c:numCache>
                <c:formatCode>0%</c:formatCode>
                <c:ptCount val="4"/>
                <c:pt idx="0">
                  <c:v>0.6</c:v>
                </c:pt>
                <c:pt idx="1">
                  <c:v>0</c:v>
                </c:pt>
                <c:pt idx="2">
                  <c:v>0.2</c:v>
                </c:pt>
                <c:pt idx="3">
                  <c:v>0.2</c:v>
                </c:pt>
              </c:numCache>
            </c:numRef>
          </c:val>
          <c:extLst>
            <c:ext xmlns:c16="http://schemas.microsoft.com/office/drawing/2014/chart" uri="{C3380CC4-5D6E-409C-BE32-E72D297353CC}">
              <c16:uniqueId val="{00000000-C97E-4389-B8B2-F947BD014EDB}"/>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24 - As disciplinas ofertadas pelo PGMAT têm sido bem distribuídas por período letivo ?</a:t>
            </a:r>
          </a:p>
        </c:rich>
      </c:tx>
      <c:layout>
        <c:manualLayout>
          <c:xMode val="edge"/>
          <c:yMode val="edge"/>
          <c:x val="0.16593724607293039"/>
          <c:y val="2.5072539166920444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INST.'!$D$394:$D$397</c:f>
              <c:strCache>
                <c:ptCount val="4"/>
                <c:pt idx="0">
                  <c:v>MUITO BOM / ÓTIMO</c:v>
                </c:pt>
                <c:pt idx="1">
                  <c:v>BOM</c:v>
                </c:pt>
                <c:pt idx="2">
                  <c:v>RUIM / REGULAR</c:v>
                </c:pt>
                <c:pt idx="3">
                  <c:v>NÃO SE APLICA / NÃO SEI</c:v>
                </c:pt>
              </c:strCache>
            </c:strRef>
          </c:cat>
          <c:val>
            <c:numRef>
              <c:f>'Dashboard-1-AVALIAÇÃO INST.'!$F$394:$F$397</c:f>
              <c:numCache>
                <c:formatCode>0%</c:formatCode>
                <c:ptCount val="4"/>
                <c:pt idx="0">
                  <c:v>0.64444444444444438</c:v>
                </c:pt>
                <c:pt idx="1">
                  <c:v>0.13333333333333333</c:v>
                </c:pt>
                <c:pt idx="2">
                  <c:v>8.8888888888888892E-2</c:v>
                </c:pt>
                <c:pt idx="3">
                  <c:v>0.13333333333333333</c:v>
                </c:pt>
              </c:numCache>
            </c:numRef>
          </c:val>
          <c:extLst>
            <c:ext xmlns:c16="http://schemas.microsoft.com/office/drawing/2014/chart" uri="{C3380CC4-5D6E-409C-BE32-E72D297353CC}">
              <c16:uniqueId val="{00000000-FF3D-4EF7-B22A-8E1CDDCE2E18}"/>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3D-4EF7-B22A-8E1CDDCE2E18}"/>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3D-4EF7-B22A-8E1CDDCE2E18}"/>
                </c:ext>
              </c:extLst>
            </c:dLbl>
            <c:dLbl>
              <c:idx val="2"/>
              <c:layout>
                <c:manualLayout>
                  <c:x val="1.7643351186459797E-3"/>
                  <c:y val="-1.089494697506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3D-4EF7-B22A-8E1CDDCE2E18}"/>
                </c:ext>
              </c:extLst>
            </c:dLbl>
            <c:dLbl>
              <c:idx val="5"/>
              <c:layout>
                <c:manualLayout>
                  <c:x val="1.2350345830521858E-2"/>
                  <c:y val="-1.4526595966753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3D-4EF7-B22A-8E1CDDCE2E1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INST.'!$D$394:$D$397</c:f>
              <c:strCache>
                <c:ptCount val="4"/>
                <c:pt idx="0">
                  <c:v>MUITO BOM / ÓTIMO</c:v>
                </c:pt>
                <c:pt idx="1">
                  <c:v>BOM</c:v>
                </c:pt>
                <c:pt idx="2">
                  <c:v>RUIM / REGULAR</c:v>
                </c:pt>
                <c:pt idx="3">
                  <c:v>NÃO SE APLICA / NÃO SEI</c:v>
                </c:pt>
              </c:strCache>
            </c:strRef>
          </c:cat>
          <c:val>
            <c:numRef>
              <c:f>'Dashboard-1-AVALIAÇÃO INST.'!$E$394:$E$397</c:f>
              <c:numCache>
                <c:formatCode>0%</c:formatCode>
                <c:ptCount val="4"/>
                <c:pt idx="0">
                  <c:v>0.53448275862068972</c:v>
                </c:pt>
                <c:pt idx="1">
                  <c:v>0.15517241379310345</c:v>
                </c:pt>
                <c:pt idx="2">
                  <c:v>0.20689655172413793</c:v>
                </c:pt>
                <c:pt idx="3">
                  <c:v>0.10344827586206896</c:v>
                </c:pt>
              </c:numCache>
            </c:numRef>
          </c:val>
          <c:extLst>
            <c:ext xmlns:c16="http://schemas.microsoft.com/office/drawing/2014/chart" uri="{C3380CC4-5D6E-409C-BE32-E72D297353CC}">
              <c16:uniqueId val="{00000005-FF3D-4EF7-B22A-8E1CDDCE2E18}"/>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'D5'!$Z$28:$Z$31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F962-45C2-B23C-34C1730D9BB8}"/>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'D6'!$Z$28:$Z$31</c:f>
              <c:numCache>
                <c:formatCode>0%</c:formatCode>
                <c:ptCount val="4"/>
                <c:pt idx="0">
                  <c:v>0.60000000000000009</c:v>
                </c:pt>
                <c:pt idx="1">
                  <c:v>0.2</c:v>
                </c:pt>
                <c:pt idx="2">
                  <c:v>0</c:v>
                </c:pt>
                <c:pt idx="3">
                  <c:v>0.2</c:v>
                </c:pt>
              </c:numCache>
            </c:numRef>
          </c:val>
          <c:extLst>
            <c:ext xmlns:c16="http://schemas.microsoft.com/office/drawing/2014/chart" uri="{C3380CC4-5D6E-409C-BE32-E72D297353CC}">
              <c16:uniqueId val="{00000000-4AF8-4A25-B8EF-17F71E8CC694}"/>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'D7'!$Z$28:$Z$31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AFE0-41A6-AD7E-CF105B5EB4C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'D11'!$Z$28:$Z$31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1E7F-4C5E-8291-E5A330422866}"/>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'D4'!$AA$28:$AA$31</c:f>
              <c:numCache>
                <c:formatCode>0%</c:formatCode>
                <c:ptCount val="4"/>
                <c:pt idx="0">
                  <c:v>0.25</c:v>
                </c:pt>
                <c:pt idx="1">
                  <c:v>0</c:v>
                </c:pt>
                <c:pt idx="2">
                  <c:v>0</c:v>
                </c:pt>
                <c:pt idx="3">
                  <c:v>0.75</c:v>
                </c:pt>
              </c:numCache>
            </c:numRef>
          </c:val>
          <c:extLst>
            <c:ext xmlns:c16="http://schemas.microsoft.com/office/drawing/2014/chart" uri="{C3380CC4-5D6E-409C-BE32-E72D297353CC}">
              <c16:uniqueId val="{00000000-FC36-4622-B157-9F00947C6707}"/>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'D8'!$AA$28:$AA$31</c:f>
              <c:numCache>
                <c:formatCode>0%</c:formatCode>
                <c:ptCount val="4"/>
                <c:pt idx="0">
                  <c:v>0.75</c:v>
                </c:pt>
                <c:pt idx="1">
                  <c:v>0</c:v>
                </c:pt>
                <c:pt idx="2">
                  <c:v>0</c:v>
                </c:pt>
                <c:pt idx="3">
                  <c:v>0.25</c:v>
                </c:pt>
              </c:numCache>
            </c:numRef>
          </c:val>
          <c:extLst>
            <c:ext xmlns:c16="http://schemas.microsoft.com/office/drawing/2014/chart" uri="{C3380CC4-5D6E-409C-BE32-E72D297353CC}">
              <c16:uniqueId val="{00000000-B2AB-4745-A9E9-969512A27257}"/>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'D9'!$AA$28:$AA$31</c:f>
              <c:numCache>
                <c:formatCode>0%</c:formatCode>
                <c:ptCount val="4"/>
                <c:pt idx="0">
                  <c:v>0.375</c:v>
                </c:pt>
                <c:pt idx="1">
                  <c:v>0</c:v>
                </c:pt>
                <c:pt idx="2">
                  <c:v>0</c:v>
                </c:pt>
                <c:pt idx="3">
                  <c:v>0.625</c:v>
                </c:pt>
              </c:numCache>
            </c:numRef>
          </c:val>
          <c:extLst>
            <c:ext xmlns:c16="http://schemas.microsoft.com/office/drawing/2014/chart" uri="{C3380CC4-5D6E-409C-BE32-E72D297353CC}">
              <c16:uniqueId val="{00000000-4AF1-4A95-BF35-AB4CFF8F0469}"/>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'D10'!$AA$28:$AA$31</c:f>
              <c:numCache>
                <c:formatCode>0%</c:formatCode>
                <c:ptCount val="4"/>
                <c:pt idx="0">
                  <c:v>0.33333333333333331</c:v>
                </c:pt>
                <c:pt idx="1">
                  <c:v>0</c:v>
                </c:pt>
                <c:pt idx="2">
                  <c:v>0</c:v>
                </c:pt>
                <c:pt idx="3">
                  <c:v>0.66666666666666663</c:v>
                </c:pt>
              </c:numCache>
            </c:numRef>
          </c:val>
          <c:extLst>
            <c:ext xmlns:c16="http://schemas.microsoft.com/office/drawing/2014/chart" uri="{C3380CC4-5D6E-409C-BE32-E72D297353CC}">
              <c16:uniqueId val="{00000000-48CB-49AD-B938-42958E4E4A52}"/>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'D12'!$AA$28:$AA$31</c:f>
              <c:numCache>
                <c:formatCode>0%</c:formatCode>
                <c:ptCount val="4"/>
                <c:pt idx="0">
                  <c:v>1</c:v>
                </c:pt>
                <c:pt idx="1">
                  <c:v>0</c:v>
                </c:pt>
                <c:pt idx="2">
                  <c:v>0</c:v>
                </c:pt>
                <c:pt idx="3">
                  <c:v>0</c:v>
                </c:pt>
              </c:numCache>
            </c:numRef>
          </c:val>
          <c:extLst>
            <c:ext xmlns:c16="http://schemas.microsoft.com/office/drawing/2014/chart" uri="{C3380CC4-5D6E-409C-BE32-E72D297353CC}">
              <c16:uniqueId val="{00000000-9AA3-4B4C-8A91-90A9F08B8359}"/>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'D13'!$AA$28:$AA$31</c:f>
              <c:numCache>
                <c:formatCode>0%</c:formatCode>
                <c:ptCount val="4"/>
                <c:pt idx="0">
                  <c:v>0.73333333333333328</c:v>
                </c:pt>
                <c:pt idx="1">
                  <c:v>0</c:v>
                </c:pt>
                <c:pt idx="2">
                  <c:v>0</c:v>
                </c:pt>
                <c:pt idx="3">
                  <c:v>0.26666666666666666</c:v>
                </c:pt>
              </c:numCache>
            </c:numRef>
          </c:val>
          <c:extLst>
            <c:ext xmlns:c16="http://schemas.microsoft.com/office/drawing/2014/chart" uri="{C3380CC4-5D6E-409C-BE32-E72D297353CC}">
              <c16:uniqueId val="{00000000-9B48-463B-9C71-67C351B89044}"/>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300" baseline="0"/>
              <a:t>24 - </a:t>
            </a:r>
            <a:r>
              <a:rPr lang="pt-BR" sz="1300" b="0" i="0" u="none" strike="noStrike" baseline="0">
                <a:effectLst/>
              </a:rPr>
              <a:t>As disciplinas ofertadas pelo PGMAT têm sido bem distribuídas por período letivo ?</a:t>
            </a:r>
            <a:endParaRPr lang="pt-BR" sz="1300"/>
          </a:p>
        </c:rich>
      </c:tx>
      <c:layout>
        <c:manualLayout>
          <c:xMode val="edge"/>
          <c:yMode val="edge"/>
          <c:x val="0.18787546460897589"/>
          <c:y val="1.595785524101248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dLbl>
              <c:idx val="0"/>
              <c:layout>
                <c:manualLayout>
                  <c:x val="1.7506254695329137E-2"/>
                  <c:y val="-3.8514037456872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61-49BA-9C1B-612B32475DF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INST.'!$T$393:$T$396</c:f>
              <c:strCache>
                <c:ptCount val="4"/>
                <c:pt idx="0">
                  <c:v>MUITO BOM / ÓTIMO</c:v>
                </c:pt>
                <c:pt idx="1">
                  <c:v>BOM</c:v>
                </c:pt>
                <c:pt idx="2">
                  <c:v>RUIM / REGULAR</c:v>
                </c:pt>
                <c:pt idx="3">
                  <c:v>NÃO SE APLICA / NÃO SEI</c:v>
                </c:pt>
              </c:strCache>
            </c:strRef>
          </c:cat>
          <c:val>
            <c:numRef>
              <c:f>'Dashboard-1-AVALIAÇÃO INST.'!$U$393:$U$396</c:f>
              <c:numCache>
                <c:formatCode>0%</c:formatCode>
                <c:ptCount val="4"/>
                <c:pt idx="0">
                  <c:v>0.58252427184466016</c:v>
                </c:pt>
                <c:pt idx="1">
                  <c:v>0.14563106796116504</c:v>
                </c:pt>
                <c:pt idx="2">
                  <c:v>0.1553398058252427</c:v>
                </c:pt>
                <c:pt idx="3">
                  <c:v>0.11650485436893204</c:v>
                </c:pt>
              </c:numCache>
            </c:numRef>
          </c:val>
          <c:extLst>
            <c:ext xmlns:c16="http://schemas.microsoft.com/office/drawing/2014/chart" uri="{C3380CC4-5D6E-409C-BE32-E72D297353CC}">
              <c16:uniqueId val="{00000000-D806-4825-982E-905B016F8B2E}"/>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'D3'!$AA$28:$AA$31</c:f>
              <c:numCache>
                <c:formatCode>0%</c:formatCode>
                <c:ptCount val="4"/>
                <c:pt idx="0">
                  <c:v>0.8</c:v>
                </c:pt>
                <c:pt idx="1">
                  <c:v>0</c:v>
                </c:pt>
                <c:pt idx="2">
                  <c:v>0</c:v>
                </c:pt>
                <c:pt idx="3">
                  <c:v>0.2</c:v>
                </c:pt>
              </c:numCache>
            </c:numRef>
          </c:val>
          <c:extLst>
            <c:ext xmlns:c16="http://schemas.microsoft.com/office/drawing/2014/chart" uri="{C3380CC4-5D6E-409C-BE32-E72D297353CC}">
              <c16:uniqueId val="{00000000-3B5B-4B7B-BBB5-412DFEE9C966}"/>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'D5'!$AA$28:$AA$31</c:f>
              <c:numCache>
                <c:formatCode>0%</c:formatCode>
                <c:ptCount val="4"/>
                <c:pt idx="0">
                  <c:v>0</c:v>
                </c:pt>
                <c:pt idx="1">
                  <c:v>0</c:v>
                </c:pt>
                <c:pt idx="2">
                  <c:v>0</c:v>
                </c:pt>
                <c:pt idx="3">
                  <c:v>1</c:v>
                </c:pt>
              </c:numCache>
            </c:numRef>
          </c:val>
          <c:extLst>
            <c:ext xmlns:c16="http://schemas.microsoft.com/office/drawing/2014/chart" uri="{C3380CC4-5D6E-409C-BE32-E72D297353CC}">
              <c16:uniqueId val="{00000000-44BA-4A93-AF39-BAB85A6C2BFF}"/>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'D6'!$AA$28:$AA$31</c:f>
              <c:numCache>
                <c:formatCode>0%</c:formatCode>
                <c:ptCount val="4"/>
                <c:pt idx="0">
                  <c:v>0.8</c:v>
                </c:pt>
                <c:pt idx="1">
                  <c:v>0</c:v>
                </c:pt>
                <c:pt idx="2">
                  <c:v>0</c:v>
                </c:pt>
                <c:pt idx="3">
                  <c:v>0.2</c:v>
                </c:pt>
              </c:numCache>
            </c:numRef>
          </c:val>
          <c:extLst>
            <c:ext xmlns:c16="http://schemas.microsoft.com/office/drawing/2014/chart" uri="{C3380CC4-5D6E-409C-BE32-E72D297353CC}">
              <c16:uniqueId val="{00000000-37B1-48D0-A9A8-036DDF5CFA6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'D7'!$AA$28:$AA$31</c:f>
              <c:numCache>
                <c:formatCode>0%</c:formatCode>
                <c:ptCount val="4"/>
                <c:pt idx="0">
                  <c:v>1</c:v>
                </c:pt>
                <c:pt idx="1">
                  <c:v>0</c:v>
                </c:pt>
                <c:pt idx="2">
                  <c:v>0</c:v>
                </c:pt>
                <c:pt idx="3">
                  <c:v>0</c:v>
                </c:pt>
              </c:numCache>
            </c:numRef>
          </c:val>
          <c:extLst>
            <c:ext xmlns:c16="http://schemas.microsoft.com/office/drawing/2014/chart" uri="{C3380CC4-5D6E-409C-BE32-E72D297353CC}">
              <c16:uniqueId val="{00000000-09C4-47F0-A12F-5DF9EA17C00E}"/>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'D11'!$AA$28:$AA$31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2DB9-4527-BDE2-4980CB933505}"/>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'D4'!$AB$28:$AB$31</c:f>
              <c:numCache>
                <c:formatCode>0%</c:formatCode>
                <c:ptCount val="4"/>
                <c:pt idx="0">
                  <c:v>0</c:v>
                </c:pt>
                <c:pt idx="1">
                  <c:v>0</c:v>
                </c:pt>
                <c:pt idx="2">
                  <c:v>0</c:v>
                </c:pt>
                <c:pt idx="3">
                  <c:v>1</c:v>
                </c:pt>
              </c:numCache>
            </c:numRef>
          </c:val>
          <c:extLst>
            <c:ext xmlns:c16="http://schemas.microsoft.com/office/drawing/2014/chart" uri="{C3380CC4-5D6E-409C-BE32-E72D297353CC}">
              <c16:uniqueId val="{00000000-8879-4981-9411-3A2919FD75CD}"/>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'D8'!$AB$28:$AB$31</c:f>
              <c:numCache>
                <c:formatCode>0%</c:formatCode>
                <c:ptCount val="4"/>
                <c:pt idx="0">
                  <c:v>0.5</c:v>
                </c:pt>
                <c:pt idx="1">
                  <c:v>0.25</c:v>
                </c:pt>
                <c:pt idx="2">
                  <c:v>0</c:v>
                </c:pt>
                <c:pt idx="3">
                  <c:v>0.25</c:v>
                </c:pt>
              </c:numCache>
            </c:numRef>
          </c:val>
          <c:extLst>
            <c:ext xmlns:c16="http://schemas.microsoft.com/office/drawing/2014/chart" uri="{C3380CC4-5D6E-409C-BE32-E72D297353CC}">
              <c16:uniqueId val="{00000000-E667-4985-91FF-352194F3EB74}"/>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'D9'!$AB$28:$AB$31</c:f>
              <c:numCache>
                <c:formatCode>0%</c:formatCode>
                <c:ptCount val="4"/>
                <c:pt idx="0">
                  <c:v>0.5</c:v>
                </c:pt>
                <c:pt idx="1">
                  <c:v>0.125</c:v>
                </c:pt>
                <c:pt idx="2">
                  <c:v>0</c:v>
                </c:pt>
                <c:pt idx="3">
                  <c:v>0.375</c:v>
                </c:pt>
              </c:numCache>
            </c:numRef>
          </c:val>
          <c:extLst>
            <c:ext xmlns:c16="http://schemas.microsoft.com/office/drawing/2014/chart" uri="{C3380CC4-5D6E-409C-BE32-E72D297353CC}">
              <c16:uniqueId val="{00000000-6B37-4EDC-8032-7CA0960B86A8}"/>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'D10'!$AB$28:$AB$31</c:f>
              <c:numCache>
                <c:formatCode>0%</c:formatCode>
                <c:ptCount val="4"/>
                <c:pt idx="0">
                  <c:v>0.16666666666666666</c:v>
                </c:pt>
                <c:pt idx="1">
                  <c:v>0</c:v>
                </c:pt>
                <c:pt idx="2">
                  <c:v>0.16666666666666666</c:v>
                </c:pt>
                <c:pt idx="3">
                  <c:v>0.66666666666666663</c:v>
                </c:pt>
              </c:numCache>
            </c:numRef>
          </c:val>
          <c:extLst>
            <c:ext xmlns:c16="http://schemas.microsoft.com/office/drawing/2014/chart" uri="{C3380CC4-5D6E-409C-BE32-E72D297353CC}">
              <c16:uniqueId val="{00000000-62CF-4187-839D-32FE10B6A7FC}"/>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760972269770628"/>
          <c:y val="0.1548242049967733"/>
          <c:w val="0.6716439575487847"/>
          <c:h val="0.72824751460159387"/>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'D12'!$AB$28:$AB$31</c:f>
              <c:numCache>
                <c:formatCode>0%</c:formatCode>
                <c:ptCount val="4"/>
                <c:pt idx="0">
                  <c:v>0</c:v>
                </c:pt>
                <c:pt idx="1">
                  <c:v>0.33333333333333331</c:v>
                </c:pt>
                <c:pt idx="2">
                  <c:v>0</c:v>
                </c:pt>
                <c:pt idx="3">
                  <c:v>0.66666666666666663</c:v>
                </c:pt>
              </c:numCache>
            </c:numRef>
          </c:val>
          <c:extLst>
            <c:ext xmlns:c16="http://schemas.microsoft.com/office/drawing/2014/chart" uri="{C3380CC4-5D6E-409C-BE32-E72D297353CC}">
              <c16:uniqueId val="{00000000-9F36-46A7-B17D-196BDF6386FF}"/>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r>
              <a:rPr lang="pt-BR" sz="1400" b="0"/>
              <a:t>dados 1 - 2020.2    </a:t>
            </a:r>
          </a:p>
          <a:p>
            <a:pPr>
              <a:defRPr b="0"/>
            </a:pPr>
            <a:r>
              <a:rPr lang="pt-BR" sz="1400" b="0"/>
              <a:t>dados 2 - 2020.3</a:t>
            </a:r>
          </a:p>
        </c:rich>
      </c:tx>
      <c:layout>
        <c:manualLayout>
          <c:xMode val="edge"/>
          <c:yMode val="edge"/>
          <c:x val="3.6802472458307658E-2"/>
          <c:y val="2.457527246180320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endParaRPr lang="pt-BR"/>
        </a:p>
      </c:txPr>
    </c:title>
    <c:autoTitleDeleted val="0"/>
    <c:plotArea>
      <c:layout/>
      <c:lineChart>
        <c:grouping val="standard"/>
        <c:varyColors val="0"/>
        <c:ser>
          <c:idx val="0"/>
          <c:order val="0"/>
          <c:tx>
            <c:v>Autoavaliação Institucional</c:v>
          </c:tx>
          <c:spPr>
            <a:ln w="31750" cap="rnd">
              <a:solidFill>
                <a:schemeClr val="accent1"/>
              </a:solidFill>
              <a:round/>
            </a:ln>
            <a:effectLst/>
          </c:spPr>
          <c:marker>
            <c:symbol val="none"/>
          </c:marker>
          <c:dLbls>
            <c:delete val="1"/>
          </c:dLbls>
          <c:errBars>
            <c:errDir val="y"/>
            <c:errBarType val="both"/>
            <c:errValType val="stdErr"/>
            <c:noEndCap val="0"/>
            <c:spPr>
              <a:noFill/>
              <a:ln w="9525">
                <a:solidFill>
                  <a:schemeClr val="tx2">
                    <a:lumMod val="75000"/>
                  </a:schemeClr>
                </a:solidFill>
                <a:round/>
              </a:ln>
              <a:effectLst/>
            </c:spPr>
          </c:errBars>
          <c:val>
            <c:numRef>
              <c:f>('Dashboard-1-AVALIAÇÃO INST.'!$A$36,'Dashboard-1-AVALIAÇÃO INST.'!$A$39)</c:f>
              <c:numCache>
                <c:formatCode>General</c:formatCode>
                <c:ptCount val="2"/>
                <c:pt idx="0">
                  <c:v>58</c:v>
                </c:pt>
                <c:pt idx="1">
                  <c:v>45</c:v>
                </c:pt>
              </c:numCache>
            </c:numRef>
          </c:val>
          <c:smooth val="0"/>
          <c:extLst>
            <c:ext xmlns:c16="http://schemas.microsoft.com/office/drawing/2014/chart" uri="{C3380CC4-5D6E-409C-BE32-E72D297353CC}">
              <c16:uniqueId val="{00000000-B2FC-4870-9C29-90994B5B5535}"/>
            </c:ext>
          </c:extLst>
        </c:ser>
        <c:dLbls>
          <c:dLblPos val="ctr"/>
          <c:showLegendKey val="0"/>
          <c:showVal val="1"/>
          <c:showCatName val="0"/>
          <c:showSerName val="0"/>
          <c:showPercent val="0"/>
          <c:showBubbleSize val="0"/>
        </c:dLbls>
        <c:smooth val="0"/>
        <c:axId val="377659936"/>
        <c:axId val="377661600"/>
      </c:lineChart>
      <c:catAx>
        <c:axId val="377659936"/>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crossAx val="377661600"/>
        <c:crosses val="autoZero"/>
        <c:auto val="1"/>
        <c:lblAlgn val="ctr"/>
        <c:lblOffset val="100"/>
        <c:noMultiLvlLbl val="0"/>
      </c:catAx>
      <c:valAx>
        <c:axId val="377661600"/>
        <c:scaling>
          <c:orientation val="minMax"/>
          <c:min val="3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crossAx val="377659936"/>
        <c:crossesAt val="20202"/>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'D13'!$AB$28:$AB$31</c:f>
              <c:numCache>
                <c:formatCode>0%</c:formatCode>
                <c:ptCount val="4"/>
                <c:pt idx="0">
                  <c:v>0.33333333333333337</c:v>
                </c:pt>
                <c:pt idx="1">
                  <c:v>0.33333333333333331</c:v>
                </c:pt>
                <c:pt idx="2">
                  <c:v>6.6666666666666666E-2</c:v>
                </c:pt>
                <c:pt idx="3">
                  <c:v>0.26666666666666666</c:v>
                </c:pt>
              </c:numCache>
            </c:numRef>
          </c:val>
          <c:extLst>
            <c:ext xmlns:c16="http://schemas.microsoft.com/office/drawing/2014/chart" uri="{C3380CC4-5D6E-409C-BE32-E72D297353CC}">
              <c16:uniqueId val="{00000000-8569-4B86-BBE3-02DCA2DF9D4C}"/>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'D3'!$AB$28:$AB$31</c:f>
              <c:numCache>
                <c:formatCode>0%</c:formatCode>
                <c:ptCount val="4"/>
                <c:pt idx="0">
                  <c:v>0.60000000000000009</c:v>
                </c:pt>
                <c:pt idx="1">
                  <c:v>0</c:v>
                </c:pt>
                <c:pt idx="2">
                  <c:v>0</c:v>
                </c:pt>
                <c:pt idx="3">
                  <c:v>0.4</c:v>
                </c:pt>
              </c:numCache>
            </c:numRef>
          </c:val>
          <c:extLst>
            <c:ext xmlns:c16="http://schemas.microsoft.com/office/drawing/2014/chart" uri="{C3380CC4-5D6E-409C-BE32-E72D297353CC}">
              <c16:uniqueId val="{00000000-2E60-41B8-96A7-52D845614BBA}"/>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'D5'!$AB$28:$AB$31</c:f>
              <c:numCache>
                <c:formatCode>0%</c:formatCode>
                <c:ptCount val="4"/>
                <c:pt idx="0">
                  <c:v>0</c:v>
                </c:pt>
                <c:pt idx="1">
                  <c:v>0</c:v>
                </c:pt>
                <c:pt idx="2">
                  <c:v>0</c:v>
                </c:pt>
                <c:pt idx="3">
                  <c:v>1</c:v>
                </c:pt>
              </c:numCache>
            </c:numRef>
          </c:val>
          <c:extLst>
            <c:ext xmlns:c16="http://schemas.microsoft.com/office/drawing/2014/chart" uri="{C3380CC4-5D6E-409C-BE32-E72D297353CC}">
              <c16:uniqueId val="{00000000-6D55-4239-A2C5-280AE8C95809}"/>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[6]</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'D6'!$B$28:$B$31</c:f>
              <c:strCache>
                <c:ptCount val="4"/>
                <c:pt idx="0">
                  <c:v>MUITO BOM / ÓTIMO</c:v>
                </c:pt>
                <c:pt idx="1">
                  <c:v>BOM</c:v>
                </c:pt>
                <c:pt idx="2">
                  <c:v>RUIM / REGULAR</c:v>
                </c:pt>
                <c:pt idx="3">
                  <c:v>NÃO SE APLICA / NÃO SEI</c:v>
                </c:pt>
              </c:strCache>
            </c:strRef>
          </c:cat>
          <c:val>
            <c:numRef>
              <c:f>'D6'!$AB$28:$AB$31</c:f>
              <c:numCache>
                <c:formatCode>0%</c:formatCode>
                <c:ptCount val="4"/>
                <c:pt idx="0">
                  <c:v>0.2</c:v>
                </c:pt>
                <c:pt idx="1">
                  <c:v>0</c:v>
                </c:pt>
                <c:pt idx="2">
                  <c:v>0.2</c:v>
                </c:pt>
                <c:pt idx="3">
                  <c:v>0.6</c:v>
                </c:pt>
              </c:numCache>
            </c:numRef>
          </c:val>
          <c:extLst>
            <c:ext xmlns:c16="http://schemas.microsoft.com/office/drawing/2014/chart" uri="{C3380CC4-5D6E-409C-BE32-E72D297353CC}">
              <c16:uniqueId val="{00000000-05A1-4E79-B9DE-45CD8B5CC685}"/>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[7]</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516356847146681"/>
          <c:y val="0.16380952380952379"/>
          <c:w val="0.56930120451834876"/>
          <c:h val="0.71247619047619049"/>
        </c:manualLayout>
      </c:layout>
      <c:bar3DChart>
        <c:barDir val="bar"/>
        <c:grouping val="clustered"/>
        <c:varyColors val="0"/>
        <c:ser>
          <c:idx val="0"/>
          <c:order val="0"/>
          <c:spPr>
            <a:solidFill>
              <a:schemeClr val="accent1"/>
            </a:solidFill>
            <a:ln>
              <a:noFill/>
            </a:ln>
            <a:effectLst/>
            <a:sp3d/>
          </c:spPr>
          <c:invertIfNegative val="0"/>
          <c:cat>
            <c:strRef>
              <c:f>'D7'!$B$28:$B$31</c:f>
              <c:strCache>
                <c:ptCount val="4"/>
                <c:pt idx="0">
                  <c:v>MUITO BOM / ÓTIMO</c:v>
                </c:pt>
                <c:pt idx="1">
                  <c:v>BOM</c:v>
                </c:pt>
                <c:pt idx="2">
                  <c:v>RUIM / REGULAR</c:v>
                </c:pt>
                <c:pt idx="3">
                  <c:v>NÃO SE APLICA / NÃO SEI</c:v>
                </c:pt>
              </c:strCache>
            </c:strRef>
          </c:cat>
          <c:val>
            <c:numRef>
              <c:f>'D7'!$AB$28:$AB$31</c:f>
              <c:numCache>
                <c:formatCode>0%</c:formatCode>
                <c:ptCount val="4"/>
                <c:pt idx="0">
                  <c:v>0.25</c:v>
                </c:pt>
                <c:pt idx="1">
                  <c:v>0.25</c:v>
                </c:pt>
                <c:pt idx="2">
                  <c:v>0</c:v>
                </c:pt>
                <c:pt idx="3">
                  <c:v>0.5</c:v>
                </c:pt>
              </c:numCache>
            </c:numRef>
          </c:val>
          <c:extLst>
            <c:ext xmlns:c16="http://schemas.microsoft.com/office/drawing/2014/chart" uri="{C3380CC4-5D6E-409C-BE32-E72D297353CC}">
              <c16:uniqueId val="{00000000-7119-499E-A308-7E1756534ADC}"/>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[11]</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7768217378624774"/>
          <c:y val="0.19549556483491695"/>
          <c:w val="0.562712414571367"/>
          <c:h val="0.72801792154994738"/>
        </c:manualLayout>
      </c:layout>
      <c:bar3DChart>
        <c:barDir val="bar"/>
        <c:grouping val="clustered"/>
        <c:varyColors val="0"/>
        <c:ser>
          <c:idx val="0"/>
          <c:order val="0"/>
          <c:spPr>
            <a:solidFill>
              <a:schemeClr val="accent1"/>
            </a:solidFill>
            <a:ln>
              <a:noFill/>
            </a:ln>
            <a:effectLst/>
            <a:sp3d/>
          </c:spPr>
          <c:invertIfNegative val="0"/>
          <c:cat>
            <c:strRef>
              <c:f>'D11'!$B$28:$B$31</c:f>
              <c:strCache>
                <c:ptCount val="4"/>
                <c:pt idx="0">
                  <c:v>MUITO BOM / ÓTIMO</c:v>
                </c:pt>
                <c:pt idx="1">
                  <c:v>BOM</c:v>
                </c:pt>
                <c:pt idx="2">
                  <c:v>RUIM / REGULAR</c:v>
                </c:pt>
                <c:pt idx="3">
                  <c:v>NÃO SE APLICA / NÃO SEI</c:v>
                </c:pt>
              </c:strCache>
            </c:strRef>
          </c:cat>
          <c:val>
            <c:numRef>
              <c:f>'D11'!$AB$28:$AB$31</c:f>
              <c:numCache>
                <c:formatCode>0%</c:formatCode>
                <c:ptCount val="4"/>
                <c:pt idx="0">
                  <c:v>0.5</c:v>
                </c:pt>
                <c:pt idx="1">
                  <c:v>0</c:v>
                </c:pt>
                <c:pt idx="2">
                  <c:v>0</c:v>
                </c:pt>
                <c:pt idx="3">
                  <c:v>0.5</c:v>
                </c:pt>
              </c:numCache>
            </c:numRef>
          </c:val>
          <c:extLst>
            <c:ext xmlns:c16="http://schemas.microsoft.com/office/drawing/2014/chart" uri="{C3380CC4-5D6E-409C-BE32-E72D297353CC}">
              <c16:uniqueId val="{00000000-F22E-4929-A89A-9D3AF9062511}"/>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pt-BR" sz="1600" b="1">
                <a:latin typeface="+mn-lt"/>
              </a:rPr>
              <a:t>questão</a:t>
            </a:r>
            <a:r>
              <a:rPr lang="pt-BR" sz="1600" b="1" baseline="0">
                <a:latin typeface="+mn-lt"/>
              </a:rPr>
              <a:t> 10</a:t>
            </a:r>
            <a:endParaRPr lang="pt-BR" sz="1600" b="1">
              <a:latin typeface="+mn-lt"/>
            </a:endParaRPr>
          </a:p>
        </c:rich>
      </c:tx>
      <c:layout>
        <c:manualLayout>
          <c:xMode val="edge"/>
          <c:yMode val="edge"/>
          <c:x val="0.137599805408186"/>
          <c:y val="5.76157480314960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'D4'!$B$20:$B$25</c:f>
              <c:strCache>
                <c:ptCount val="6"/>
                <c:pt idx="0">
                  <c:v>5-ÓTIMO</c:v>
                </c:pt>
                <c:pt idx="1">
                  <c:v>4-MUITO BOM</c:v>
                </c:pt>
                <c:pt idx="2">
                  <c:v>3-BOM</c:v>
                </c:pt>
                <c:pt idx="3">
                  <c:v>2-REGULAR</c:v>
                </c:pt>
                <c:pt idx="4">
                  <c:v>1-RUIM</c:v>
                </c:pt>
                <c:pt idx="5">
                  <c:v>0-NÃO SE APLICA</c:v>
                </c:pt>
              </c:strCache>
            </c:strRef>
          </c:cat>
          <c:val>
            <c:numRef>
              <c:f>'D4'!$L$20:$L$25</c:f>
              <c:numCache>
                <c:formatCode>0%</c:formatCode>
                <c:ptCount val="6"/>
                <c:pt idx="0">
                  <c:v>0.75</c:v>
                </c:pt>
                <c:pt idx="1">
                  <c:v>0.25</c:v>
                </c:pt>
                <c:pt idx="2">
                  <c:v>0</c:v>
                </c:pt>
                <c:pt idx="3">
                  <c:v>0</c:v>
                </c:pt>
                <c:pt idx="4">
                  <c:v>0</c:v>
                </c:pt>
                <c:pt idx="5">
                  <c:v>0</c:v>
                </c:pt>
              </c:numCache>
            </c:numRef>
          </c:val>
          <c:extLst>
            <c:ext xmlns:c16="http://schemas.microsoft.com/office/drawing/2014/chart" uri="{C3380CC4-5D6E-409C-BE32-E72D297353CC}">
              <c16:uniqueId val="{00000000-E97D-4F28-B422-F501EC04E730}"/>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pt-BR" sz="1600" b="1">
                <a:latin typeface="+mn-lt"/>
              </a:rPr>
              <a:t>questão</a:t>
            </a:r>
            <a:r>
              <a:rPr lang="pt-BR" sz="1600" b="1" baseline="0">
                <a:latin typeface="+mn-lt"/>
              </a:rPr>
              <a:t> 11</a:t>
            </a:r>
            <a:endParaRPr lang="pt-BR" sz="1600" b="1">
              <a:latin typeface="+mn-lt"/>
            </a:endParaRPr>
          </a:p>
        </c:rich>
      </c:tx>
      <c:layout>
        <c:manualLayout>
          <c:xMode val="edge"/>
          <c:yMode val="edge"/>
          <c:x val="0.137599805408186"/>
          <c:y val="6.261574803149605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'D4'!$B$20:$B$25</c:f>
              <c:strCache>
                <c:ptCount val="6"/>
                <c:pt idx="0">
                  <c:v>5-ÓTIMO</c:v>
                </c:pt>
                <c:pt idx="1">
                  <c:v>4-MUITO BOM</c:v>
                </c:pt>
                <c:pt idx="2">
                  <c:v>3-BOM</c:v>
                </c:pt>
                <c:pt idx="3">
                  <c:v>2-REGULAR</c:v>
                </c:pt>
                <c:pt idx="4">
                  <c:v>1-RUIM</c:v>
                </c:pt>
                <c:pt idx="5">
                  <c:v>0-NÃO SE APLICA</c:v>
                </c:pt>
              </c:strCache>
            </c:strRef>
          </c:cat>
          <c:val>
            <c:numRef>
              <c:f>'D4'!$M$20:$M$25</c:f>
              <c:numCache>
                <c:formatCode>0%</c:formatCode>
                <c:ptCount val="6"/>
                <c:pt idx="0">
                  <c:v>0.75</c:v>
                </c:pt>
                <c:pt idx="1">
                  <c:v>0</c:v>
                </c:pt>
                <c:pt idx="2">
                  <c:v>0</c:v>
                </c:pt>
                <c:pt idx="3">
                  <c:v>0.25</c:v>
                </c:pt>
                <c:pt idx="4">
                  <c:v>0</c:v>
                </c:pt>
                <c:pt idx="5">
                  <c:v>0</c:v>
                </c:pt>
              </c:numCache>
            </c:numRef>
          </c:val>
          <c:extLst>
            <c:ext xmlns:c16="http://schemas.microsoft.com/office/drawing/2014/chart" uri="{C3380CC4-5D6E-409C-BE32-E72D297353CC}">
              <c16:uniqueId val="{00000000-EB47-479B-9F97-A4C6FA3A779D}"/>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pt-BR" sz="1600" b="1">
                <a:latin typeface="+mn-lt"/>
              </a:rPr>
              <a:t>questão</a:t>
            </a:r>
            <a:r>
              <a:rPr lang="pt-BR" sz="1600" b="1" baseline="0">
                <a:latin typeface="+mn-lt"/>
              </a:rPr>
              <a:t> 12</a:t>
            </a:r>
            <a:endParaRPr lang="pt-BR" sz="1600" b="1">
              <a:latin typeface="+mn-lt"/>
            </a:endParaRPr>
          </a:p>
        </c:rich>
      </c:tx>
      <c:layout>
        <c:manualLayout>
          <c:xMode val="edge"/>
          <c:yMode val="edge"/>
          <c:x val="0.10905333659297117"/>
          <c:y val="5.261574803149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'D4'!$B$20:$B$25</c:f>
              <c:strCache>
                <c:ptCount val="6"/>
                <c:pt idx="0">
                  <c:v>5-ÓTIMO</c:v>
                </c:pt>
                <c:pt idx="1">
                  <c:v>4-MUITO BOM</c:v>
                </c:pt>
                <c:pt idx="2">
                  <c:v>3-BOM</c:v>
                </c:pt>
                <c:pt idx="3">
                  <c:v>2-REGULAR</c:v>
                </c:pt>
                <c:pt idx="4">
                  <c:v>1-RUIM</c:v>
                </c:pt>
                <c:pt idx="5">
                  <c:v>0-NÃO SE APLICA</c:v>
                </c:pt>
              </c:strCache>
            </c:strRef>
          </c:cat>
          <c:val>
            <c:numRef>
              <c:f>'D4'!$N$20:$N$25</c:f>
              <c:numCache>
                <c:formatCode>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0-AEA8-4CAD-9D0A-87904037AB07}"/>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questão 9</a:t>
            </a:r>
            <a:endParaRPr lang="pt-BR" sz="16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'D6'!$B$20:$B$25</c:f>
              <c:strCache>
                <c:ptCount val="6"/>
                <c:pt idx="0">
                  <c:v>5-ÓTIMO</c:v>
                </c:pt>
                <c:pt idx="1">
                  <c:v>4-MUITO BOM</c:v>
                </c:pt>
                <c:pt idx="2">
                  <c:v>3-BOM</c:v>
                </c:pt>
                <c:pt idx="3">
                  <c:v>2-REGULAR</c:v>
                </c:pt>
                <c:pt idx="4">
                  <c:v>1-RUIM</c:v>
                </c:pt>
                <c:pt idx="5">
                  <c:v>0-NÃO SE APLICA</c:v>
                </c:pt>
              </c:strCache>
            </c:strRef>
          </c:cat>
          <c:val>
            <c:numRef>
              <c:f>'D6'!$K$20:$K$25</c:f>
              <c:numCache>
                <c:formatCode>0%</c:formatCode>
                <c:ptCount val="6"/>
                <c:pt idx="0">
                  <c:v>0.8</c:v>
                </c:pt>
                <c:pt idx="1">
                  <c:v>0.2</c:v>
                </c:pt>
                <c:pt idx="2">
                  <c:v>0</c:v>
                </c:pt>
                <c:pt idx="3">
                  <c:v>0</c:v>
                </c:pt>
                <c:pt idx="4">
                  <c:v>0</c:v>
                </c:pt>
                <c:pt idx="5">
                  <c:v>0</c:v>
                </c:pt>
              </c:numCache>
            </c:numRef>
          </c:val>
          <c:extLst>
            <c:ext xmlns:c16="http://schemas.microsoft.com/office/drawing/2014/chart" uri="{C3380CC4-5D6E-409C-BE32-E72D297353CC}">
              <c16:uniqueId val="{00000000-714D-4189-BB2D-D1D95260DA45}"/>
            </c:ext>
          </c:extLst>
        </c:ser>
        <c:dLbls>
          <c:showLegendKey val="0"/>
          <c:showVal val="0"/>
          <c:showCatName val="0"/>
          <c:showSerName val="0"/>
          <c:showPercent val="0"/>
          <c:showBubbleSize val="0"/>
        </c:dLbls>
        <c:gapWidth val="150"/>
        <c:shape val="box"/>
        <c:axId val="1052931088"/>
        <c:axId val="1052934832"/>
        <c:axId val="0"/>
      </c:bar3DChart>
      <c:catAx>
        <c:axId val="105293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34832"/>
        <c:crosses val="autoZero"/>
        <c:auto val="1"/>
        <c:lblAlgn val="ctr"/>
        <c:lblOffset val="100"/>
        <c:noMultiLvlLbl val="0"/>
      </c:catAx>
      <c:valAx>
        <c:axId val="10529348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3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pt-BR" sz="1500"/>
              <a:t>Questão 02 - Qual a área de concentração que Atua/Atuou ? </a:t>
            </a:r>
          </a:p>
        </c:rich>
      </c:tx>
      <c:layout>
        <c:manualLayout>
          <c:xMode val="edge"/>
          <c:yMode val="edge"/>
          <c:x val="3.9075704629344316E-2"/>
          <c:y val="3.4715536098386804E-2"/>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6420410812511882"/>
          <c:y val="0.12176779199382065"/>
          <c:w val="0.40689530753763176"/>
          <c:h val="0.8276174077264453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74-8443-AF3C-5A7EC29C513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74-8443-AF3C-5A7EC29C513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574-8443-AF3C-5A7EC29C5133}"/>
              </c:ext>
            </c:extLst>
          </c:dPt>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'Dashboard-1-AVALIAÇÃO INST.'!$A$60:$A$62</c:f>
              <c:strCache>
                <c:ptCount val="3"/>
                <c:pt idx="0">
                  <c:v>CERÂMICA</c:v>
                </c:pt>
                <c:pt idx="1">
                  <c:v>METAIS</c:v>
                </c:pt>
                <c:pt idx="2">
                  <c:v>POLÍMEROS</c:v>
                </c:pt>
              </c:strCache>
            </c:strRef>
          </c:cat>
          <c:val>
            <c:numRef>
              <c:f>'Dashboard-1-AVALIAÇÃO INST.'!$C$60:$C$62</c:f>
              <c:numCache>
                <c:formatCode>0%</c:formatCode>
                <c:ptCount val="3"/>
                <c:pt idx="0">
                  <c:v>0.35922330097087379</c:v>
                </c:pt>
                <c:pt idx="1">
                  <c:v>0.47572815533980584</c:v>
                </c:pt>
                <c:pt idx="2">
                  <c:v>0.1650485436893204</c:v>
                </c:pt>
              </c:numCache>
            </c:numRef>
          </c:val>
          <c:extLst>
            <c:ext xmlns:c16="http://schemas.microsoft.com/office/drawing/2014/chart" uri="{C3380CC4-5D6E-409C-BE32-E72D297353CC}">
              <c16:uniqueId val="{00000000-0542-8B4B-BF85-974319EEAF0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6591674966643486"/>
          <c:y val="0.29507416713528545"/>
          <c:w val="0.19873465025864276"/>
          <c:h val="0.509300973717903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pt-BR"/>
    </a:p>
  </c:txPr>
  <c:printSettings>
    <c:headerFooter/>
    <c:pageMargins b="0.78740157499999996" l="0.511811024" r="0.511811024" t="0.78740157499999996" header="0.31496062000000002" footer="0.3149606200000000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questão 11</a:t>
            </a:r>
            <a:endParaRPr lang="pt-BR" sz="16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'D6'!$B$20:$B$25</c:f>
              <c:strCache>
                <c:ptCount val="6"/>
                <c:pt idx="0">
                  <c:v>5-ÓTIMO</c:v>
                </c:pt>
                <c:pt idx="1">
                  <c:v>4-MUITO BOM</c:v>
                </c:pt>
                <c:pt idx="2">
                  <c:v>3-BOM</c:v>
                </c:pt>
                <c:pt idx="3">
                  <c:v>2-REGULAR</c:v>
                </c:pt>
                <c:pt idx="4">
                  <c:v>1-RUIM</c:v>
                </c:pt>
                <c:pt idx="5">
                  <c:v>0-NÃO SE APLICA</c:v>
                </c:pt>
              </c:strCache>
            </c:strRef>
          </c:cat>
          <c:val>
            <c:numRef>
              <c:f>'D6'!$M$20:$M$25</c:f>
              <c:numCache>
                <c:formatCode>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0-DCA7-4B6F-860A-E1B6ACBBECB6}"/>
            </c:ext>
          </c:extLst>
        </c:ser>
        <c:dLbls>
          <c:showLegendKey val="0"/>
          <c:showVal val="0"/>
          <c:showCatName val="0"/>
          <c:showSerName val="0"/>
          <c:showPercent val="0"/>
          <c:showBubbleSize val="0"/>
        </c:dLbls>
        <c:gapWidth val="150"/>
        <c:shape val="box"/>
        <c:axId val="1052931088"/>
        <c:axId val="1052934832"/>
        <c:axId val="0"/>
      </c:bar3DChart>
      <c:catAx>
        <c:axId val="105293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34832"/>
        <c:crosses val="autoZero"/>
        <c:auto val="1"/>
        <c:lblAlgn val="ctr"/>
        <c:lblOffset val="100"/>
        <c:noMultiLvlLbl val="0"/>
      </c:catAx>
      <c:valAx>
        <c:axId val="10529348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3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questão 12</a:t>
            </a:r>
            <a:endParaRPr lang="pt-BR" sz="16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'D6'!$B$20:$B$25</c:f>
              <c:strCache>
                <c:ptCount val="6"/>
                <c:pt idx="0">
                  <c:v>5-ÓTIMO</c:v>
                </c:pt>
                <c:pt idx="1">
                  <c:v>4-MUITO BOM</c:v>
                </c:pt>
                <c:pt idx="2">
                  <c:v>3-BOM</c:v>
                </c:pt>
                <c:pt idx="3">
                  <c:v>2-REGULAR</c:v>
                </c:pt>
                <c:pt idx="4">
                  <c:v>1-RUIM</c:v>
                </c:pt>
                <c:pt idx="5">
                  <c:v>0-NÃO SE APLICA</c:v>
                </c:pt>
              </c:strCache>
            </c:strRef>
          </c:cat>
          <c:val>
            <c:numRef>
              <c:f>'D6'!$N$20:$N$25</c:f>
              <c:numCache>
                <c:formatCode>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0-97D3-45EE-8531-629D2564F370}"/>
            </c:ext>
          </c:extLst>
        </c:ser>
        <c:dLbls>
          <c:showLegendKey val="0"/>
          <c:showVal val="0"/>
          <c:showCatName val="0"/>
          <c:showSerName val="0"/>
          <c:showPercent val="0"/>
          <c:showBubbleSize val="0"/>
        </c:dLbls>
        <c:gapWidth val="150"/>
        <c:shape val="box"/>
        <c:axId val="1052931088"/>
        <c:axId val="1052934832"/>
        <c:axId val="0"/>
      </c:bar3DChart>
      <c:catAx>
        <c:axId val="105293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34832"/>
        <c:crosses val="autoZero"/>
        <c:auto val="1"/>
        <c:lblAlgn val="ctr"/>
        <c:lblOffset val="100"/>
        <c:noMultiLvlLbl val="0"/>
      </c:catAx>
      <c:valAx>
        <c:axId val="10529348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3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questão 13</a:t>
            </a:r>
            <a:endParaRPr lang="pt-BR" sz="16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'D6'!$B$20:$B$25</c:f>
              <c:strCache>
                <c:ptCount val="6"/>
                <c:pt idx="0">
                  <c:v>5-ÓTIMO</c:v>
                </c:pt>
                <c:pt idx="1">
                  <c:v>4-MUITO BOM</c:v>
                </c:pt>
                <c:pt idx="2">
                  <c:v>3-BOM</c:v>
                </c:pt>
                <c:pt idx="3">
                  <c:v>2-REGULAR</c:v>
                </c:pt>
                <c:pt idx="4">
                  <c:v>1-RUIM</c:v>
                </c:pt>
                <c:pt idx="5">
                  <c:v>0-NÃO SE APLICA</c:v>
                </c:pt>
              </c:strCache>
            </c:strRef>
          </c:cat>
          <c:val>
            <c:numRef>
              <c:f>'D6'!$O$20:$O$25</c:f>
              <c:numCache>
                <c:formatCode>0%</c:formatCode>
                <c:ptCount val="6"/>
                <c:pt idx="0">
                  <c:v>0.6</c:v>
                </c:pt>
                <c:pt idx="1">
                  <c:v>0.2</c:v>
                </c:pt>
                <c:pt idx="2">
                  <c:v>0</c:v>
                </c:pt>
                <c:pt idx="3">
                  <c:v>0</c:v>
                </c:pt>
                <c:pt idx="4">
                  <c:v>0</c:v>
                </c:pt>
                <c:pt idx="5">
                  <c:v>0.2</c:v>
                </c:pt>
              </c:numCache>
            </c:numRef>
          </c:val>
          <c:extLst>
            <c:ext xmlns:c16="http://schemas.microsoft.com/office/drawing/2014/chart" uri="{C3380CC4-5D6E-409C-BE32-E72D297353CC}">
              <c16:uniqueId val="{00000000-00E8-4181-B930-CA27310399DF}"/>
            </c:ext>
          </c:extLst>
        </c:ser>
        <c:dLbls>
          <c:showLegendKey val="0"/>
          <c:showVal val="0"/>
          <c:showCatName val="0"/>
          <c:showSerName val="0"/>
          <c:showPercent val="0"/>
          <c:showBubbleSize val="0"/>
        </c:dLbls>
        <c:gapWidth val="150"/>
        <c:shape val="box"/>
        <c:axId val="1052931088"/>
        <c:axId val="1052934832"/>
        <c:axId val="0"/>
      </c:bar3DChart>
      <c:catAx>
        <c:axId val="105293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34832"/>
        <c:crosses val="autoZero"/>
        <c:auto val="1"/>
        <c:lblAlgn val="ctr"/>
        <c:lblOffset val="100"/>
        <c:noMultiLvlLbl val="0"/>
      </c:catAx>
      <c:valAx>
        <c:axId val="10529348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3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05 </a:t>
            </a:r>
            <a:r>
              <a:rPr lang="pt-BR" sz="1200" b="0" i="0" u="none" strike="noStrike" cap="none" baseline="0">
                <a:effectLst/>
              </a:rPr>
              <a:t>- Você conhece/ia o Regimento do PGMAT (versão 2017) ?</a:t>
            </a:r>
            <a:r>
              <a:rPr lang="pt-BR" sz="1200"/>
              <a:t> </a:t>
            </a:r>
          </a:p>
        </c:rich>
      </c:tx>
      <c:layout>
        <c:manualLayout>
          <c:xMode val="edge"/>
          <c:yMode val="edge"/>
          <c:x val="0.15364540725779341"/>
          <c:y val="3.4727342396903858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INST.'!$D$18:$D$21</c:f>
              <c:strCache>
                <c:ptCount val="4"/>
                <c:pt idx="0">
                  <c:v>MUITO BOM / ÓTIMO</c:v>
                </c:pt>
                <c:pt idx="1">
                  <c:v>BOM</c:v>
                </c:pt>
                <c:pt idx="2">
                  <c:v>RUIM / REGULAR</c:v>
                </c:pt>
                <c:pt idx="3">
                  <c:v>NÃO SE APLICA / NÃO SEI</c:v>
                </c:pt>
              </c:strCache>
            </c:strRef>
          </c:cat>
          <c:val>
            <c:numRef>
              <c:f>'Dashboard-1-AVALIAÇÃO INST.'!$F$18:$F$21</c:f>
              <c:numCache>
                <c:formatCode>0%</c:formatCode>
                <c:ptCount val="4"/>
                <c:pt idx="0">
                  <c:v>0.6</c:v>
                </c:pt>
                <c:pt idx="1">
                  <c:v>0.13333333333333333</c:v>
                </c:pt>
                <c:pt idx="2">
                  <c:v>0.13333333333333333</c:v>
                </c:pt>
                <c:pt idx="3">
                  <c:v>0.13333333333333333</c:v>
                </c:pt>
              </c:numCache>
            </c:numRef>
          </c:val>
          <c:extLst>
            <c:ext xmlns:c16="http://schemas.microsoft.com/office/drawing/2014/chart" uri="{C3380CC4-5D6E-409C-BE32-E72D297353CC}">
              <c16:uniqueId val="{00000000-BE7B-C842-8E60-97BF0CC802D9}"/>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INST.'!$D$18:$D$21</c:f>
              <c:strCache>
                <c:ptCount val="4"/>
                <c:pt idx="0">
                  <c:v>MUITO BOM / ÓTIMO</c:v>
                </c:pt>
                <c:pt idx="1">
                  <c:v>BOM</c:v>
                </c:pt>
                <c:pt idx="2">
                  <c:v>RUIM / REGULAR</c:v>
                </c:pt>
                <c:pt idx="3">
                  <c:v>NÃO SE APLICA / NÃO SEI</c:v>
                </c:pt>
              </c:strCache>
            </c:strRef>
          </c:cat>
          <c:val>
            <c:numRef>
              <c:f>'Dashboard-1-AVALIAÇÃO INST.'!$E$18:$E$21</c:f>
              <c:numCache>
                <c:formatCode>0%</c:formatCode>
                <c:ptCount val="4"/>
                <c:pt idx="0">
                  <c:v>0.5862068965517242</c:v>
                </c:pt>
                <c:pt idx="1">
                  <c:v>0.10344827586206896</c:v>
                </c:pt>
                <c:pt idx="2">
                  <c:v>3.4482758620689655E-2</c:v>
                </c:pt>
                <c:pt idx="3">
                  <c:v>0.27586206896551724</c:v>
                </c:pt>
              </c:numCache>
            </c:numRef>
          </c:val>
          <c:extLst>
            <c:ext xmlns:c16="http://schemas.microsoft.com/office/drawing/2014/chart" uri="{C3380CC4-5D6E-409C-BE32-E72D297353CC}">
              <c16:uniqueId val="{00000001-BE7B-C842-8E60-97BF0CC802D9}"/>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06 </a:t>
            </a:r>
            <a:r>
              <a:rPr lang="pt-BR" sz="1200" b="0" i="0" u="none" strike="noStrike" cap="none" baseline="0">
                <a:effectLst/>
              </a:rPr>
              <a:t>- O planejamento estratégico (objetivos e metas) tem sido cumprido no PGMAT ?</a:t>
            </a:r>
            <a:r>
              <a:rPr lang="pt-BR" sz="1200"/>
              <a:t> </a:t>
            </a:r>
          </a:p>
        </c:rich>
      </c:tx>
      <c:layout>
        <c:manualLayout>
          <c:xMode val="edge"/>
          <c:yMode val="edge"/>
          <c:x val="0.14431784776895445"/>
          <c:y val="1.7290959084062071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INST.'!$D$36:$D$39</c:f>
              <c:strCache>
                <c:ptCount val="4"/>
                <c:pt idx="0">
                  <c:v>MUITO BOM / ÓTIMO</c:v>
                </c:pt>
                <c:pt idx="1">
                  <c:v>BOM</c:v>
                </c:pt>
                <c:pt idx="2">
                  <c:v>RUIM / REGULAR</c:v>
                </c:pt>
                <c:pt idx="3">
                  <c:v>NÃO SE APLICA / NÃO SEI</c:v>
                </c:pt>
              </c:strCache>
            </c:strRef>
          </c:cat>
          <c:val>
            <c:numRef>
              <c:f>'Dashboard-1-AVALIAÇÃO INST.'!$F$36:$F$39</c:f>
              <c:numCache>
                <c:formatCode>0%</c:formatCode>
                <c:ptCount val="4"/>
                <c:pt idx="0">
                  <c:v>0.53333333333333333</c:v>
                </c:pt>
                <c:pt idx="1">
                  <c:v>8.8888888888888892E-2</c:v>
                </c:pt>
                <c:pt idx="2">
                  <c:v>2.2222222222222223E-2</c:v>
                </c:pt>
                <c:pt idx="3">
                  <c:v>0.35555555555555557</c:v>
                </c:pt>
              </c:numCache>
            </c:numRef>
          </c:val>
          <c:extLst>
            <c:ext xmlns:c16="http://schemas.microsoft.com/office/drawing/2014/chart" uri="{C3380CC4-5D6E-409C-BE32-E72D297353CC}">
              <c16:uniqueId val="{00000000-D933-DC42-BE83-5367E5116D33}"/>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33-DC42-BE83-5367E5116D3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INST.'!$D$36:$D$39</c:f>
              <c:strCache>
                <c:ptCount val="4"/>
                <c:pt idx="0">
                  <c:v>MUITO BOM / ÓTIMO</c:v>
                </c:pt>
                <c:pt idx="1">
                  <c:v>BOM</c:v>
                </c:pt>
                <c:pt idx="2">
                  <c:v>RUIM / REGULAR</c:v>
                </c:pt>
                <c:pt idx="3">
                  <c:v>NÃO SE APLICA / NÃO SEI</c:v>
                </c:pt>
              </c:strCache>
            </c:strRef>
          </c:cat>
          <c:val>
            <c:numRef>
              <c:f>'Dashboard-1-AVALIAÇÃO INST.'!$E$36:$E$39</c:f>
              <c:numCache>
                <c:formatCode>0%</c:formatCode>
                <c:ptCount val="4"/>
                <c:pt idx="0">
                  <c:v>0.5</c:v>
                </c:pt>
                <c:pt idx="1">
                  <c:v>6.8965517241379309E-2</c:v>
                </c:pt>
                <c:pt idx="2">
                  <c:v>5.1724137931034482E-2</c:v>
                </c:pt>
                <c:pt idx="3">
                  <c:v>0.37931034482758619</c:v>
                </c:pt>
              </c:numCache>
            </c:numRef>
          </c:val>
          <c:extLst>
            <c:ext xmlns:c16="http://schemas.microsoft.com/office/drawing/2014/chart" uri="{C3380CC4-5D6E-409C-BE32-E72D297353CC}">
              <c16:uniqueId val="{00000002-D933-DC42-BE83-5367E5116D33}"/>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07 - </a:t>
            </a:r>
            <a:r>
              <a:rPr lang="pt-BR" sz="1200" b="0" i="0" u="none" strike="noStrike" cap="none" baseline="0">
                <a:effectLst/>
              </a:rPr>
              <a:t>Os resultados das autoavaliações têm sido discutidos no âmbito do PGMAT?</a:t>
            </a:r>
            <a:r>
              <a:rPr lang="pt-BR" sz="1200"/>
              <a:t> </a:t>
            </a:r>
          </a:p>
        </c:rich>
      </c:tx>
      <c:layout>
        <c:manualLayout>
          <c:xMode val="edge"/>
          <c:yMode val="edge"/>
          <c:x val="0.18314655232147717"/>
          <c:y val="2.5827830689630221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INST.'!$D$54:$D$57</c:f>
              <c:strCache>
                <c:ptCount val="4"/>
                <c:pt idx="0">
                  <c:v>MUITO BOM / ÓTIMO</c:v>
                </c:pt>
                <c:pt idx="1">
                  <c:v>BOM</c:v>
                </c:pt>
                <c:pt idx="2">
                  <c:v>RUIM / REGULAR</c:v>
                </c:pt>
                <c:pt idx="3">
                  <c:v>NÃO SE APLICA / NÃO SEI</c:v>
                </c:pt>
              </c:strCache>
            </c:strRef>
          </c:cat>
          <c:val>
            <c:numRef>
              <c:f>'Dashboard-1-AVALIAÇÃO INST.'!$F$54:$F$57</c:f>
              <c:numCache>
                <c:formatCode>0%</c:formatCode>
                <c:ptCount val="4"/>
                <c:pt idx="0">
                  <c:v>0.42222222222222222</c:v>
                </c:pt>
                <c:pt idx="1">
                  <c:v>0.13333333333333333</c:v>
                </c:pt>
                <c:pt idx="2">
                  <c:v>0.13333333333333333</c:v>
                </c:pt>
                <c:pt idx="3">
                  <c:v>0.31111111111111112</c:v>
                </c:pt>
              </c:numCache>
            </c:numRef>
          </c:val>
          <c:extLst>
            <c:ext xmlns:c16="http://schemas.microsoft.com/office/drawing/2014/chart" uri="{C3380CC4-5D6E-409C-BE32-E72D297353CC}">
              <c16:uniqueId val="{00000000-302C-254F-8B13-6EA196600244}"/>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2C-254F-8B13-6EA196600244}"/>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2C-254F-8B13-6EA19660024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INST.'!$D$54:$D$57</c:f>
              <c:strCache>
                <c:ptCount val="4"/>
                <c:pt idx="0">
                  <c:v>MUITO BOM / ÓTIMO</c:v>
                </c:pt>
                <c:pt idx="1">
                  <c:v>BOM</c:v>
                </c:pt>
                <c:pt idx="2">
                  <c:v>RUIM / REGULAR</c:v>
                </c:pt>
                <c:pt idx="3">
                  <c:v>NÃO SE APLICA / NÃO SEI</c:v>
                </c:pt>
              </c:strCache>
            </c:strRef>
          </c:cat>
          <c:val>
            <c:numRef>
              <c:f>'Dashboard-1-AVALIAÇÃO INST.'!$E$54:$E$57</c:f>
              <c:numCache>
                <c:formatCode>0%</c:formatCode>
                <c:ptCount val="4"/>
                <c:pt idx="0">
                  <c:v>0.32758620689655171</c:v>
                </c:pt>
                <c:pt idx="1">
                  <c:v>6.8965517241379309E-2</c:v>
                </c:pt>
                <c:pt idx="2">
                  <c:v>0.13793103448275862</c:v>
                </c:pt>
                <c:pt idx="3">
                  <c:v>0.46551724137931033</c:v>
                </c:pt>
              </c:numCache>
            </c:numRef>
          </c:val>
          <c:extLst>
            <c:ext xmlns:c16="http://schemas.microsoft.com/office/drawing/2014/chart" uri="{C3380CC4-5D6E-409C-BE32-E72D297353CC}">
              <c16:uniqueId val="{00000003-302C-254F-8B13-6EA196600244}"/>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07</a:t>
            </a:r>
            <a:r>
              <a:rPr lang="pt-BR" baseline="0"/>
              <a:t> - </a:t>
            </a:r>
            <a:r>
              <a:rPr lang="pt-BR"/>
              <a:t>Os resultados das autoavaliações têm sido discutidos no âmbito do PGMAT?</a:t>
            </a: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INST.'!$T$53:$T$56</c:f>
              <c:strCache>
                <c:ptCount val="4"/>
                <c:pt idx="0">
                  <c:v>MUITO BOM / ÓTIMO</c:v>
                </c:pt>
                <c:pt idx="1">
                  <c:v>BOM</c:v>
                </c:pt>
                <c:pt idx="2">
                  <c:v>RUIM / REGULAR</c:v>
                </c:pt>
                <c:pt idx="3">
                  <c:v>NÃO SE APLICA / NÃO SEI</c:v>
                </c:pt>
              </c:strCache>
            </c:strRef>
          </c:cat>
          <c:val>
            <c:numRef>
              <c:f>'Dashboard-1-AVALIAÇÃO INST.'!$U$53:$U$56</c:f>
              <c:numCache>
                <c:formatCode>0%</c:formatCode>
                <c:ptCount val="4"/>
                <c:pt idx="0">
                  <c:v>0.3689320388349514</c:v>
                </c:pt>
                <c:pt idx="1">
                  <c:v>9.7087378640776698E-2</c:v>
                </c:pt>
                <c:pt idx="2">
                  <c:v>0.13592233009708737</c:v>
                </c:pt>
                <c:pt idx="3">
                  <c:v>0.39805825242718446</c:v>
                </c:pt>
              </c:numCache>
            </c:numRef>
          </c:val>
          <c:extLst>
            <c:ext xmlns:c16="http://schemas.microsoft.com/office/drawing/2014/chart" uri="{C3380CC4-5D6E-409C-BE32-E72D297353CC}">
              <c16:uniqueId val="{00000000-A484-4FC4-8F32-4BCB4EA3C3D6}"/>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08 </a:t>
            </a:r>
            <a:r>
              <a:rPr lang="pt-BR" sz="1200" b="0" i="0" u="none" strike="noStrike" cap="none" baseline="0">
                <a:effectLst/>
              </a:rPr>
              <a:t>- O PGMAT tem contribuído para o desenvolvimento da Missão da UFSC ?</a:t>
            </a:r>
            <a:r>
              <a:rPr lang="pt-BR" sz="1200"/>
              <a:t> </a:t>
            </a:r>
          </a:p>
        </c:rich>
      </c:tx>
      <c:layout>
        <c:manualLayout>
          <c:xMode val="edge"/>
          <c:yMode val="edge"/>
          <c:x val="0.17403027533594842"/>
          <c:y val="2.3855673349579568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INST.'!$D$72:$D$75</c:f>
              <c:strCache>
                <c:ptCount val="4"/>
                <c:pt idx="0">
                  <c:v>MUITO BOM / ÓTIMO</c:v>
                </c:pt>
                <c:pt idx="1">
                  <c:v>BOM</c:v>
                </c:pt>
                <c:pt idx="2">
                  <c:v>RUIM / REGULAR</c:v>
                </c:pt>
                <c:pt idx="3">
                  <c:v>NÃO SE APLICA / NÃO SEI</c:v>
                </c:pt>
              </c:strCache>
            </c:strRef>
          </c:cat>
          <c:val>
            <c:numRef>
              <c:f>'Dashboard-1-AVALIAÇÃO INST.'!$F$72:$F$75</c:f>
              <c:numCache>
                <c:formatCode>0%</c:formatCode>
                <c:ptCount val="4"/>
                <c:pt idx="0">
                  <c:v>0.88888888888888884</c:v>
                </c:pt>
                <c:pt idx="1">
                  <c:v>2.2222222222222223E-2</c:v>
                </c:pt>
                <c:pt idx="2">
                  <c:v>2.2222222222222223E-2</c:v>
                </c:pt>
                <c:pt idx="3">
                  <c:v>6.6666666666666666E-2</c:v>
                </c:pt>
              </c:numCache>
            </c:numRef>
          </c:val>
          <c:extLst>
            <c:ext xmlns:c16="http://schemas.microsoft.com/office/drawing/2014/chart" uri="{C3380CC4-5D6E-409C-BE32-E72D297353CC}">
              <c16:uniqueId val="{00000000-9BAB-F442-84F7-54B3178245C8}"/>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B-F442-84F7-54B3178245C8}"/>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AB-F442-84F7-54B3178245C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INST.'!$D$72:$D$75</c:f>
              <c:strCache>
                <c:ptCount val="4"/>
                <c:pt idx="0">
                  <c:v>MUITO BOM / ÓTIMO</c:v>
                </c:pt>
                <c:pt idx="1">
                  <c:v>BOM</c:v>
                </c:pt>
                <c:pt idx="2">
                  <c:v>RUIM / REGULAR</c:v>
                </c:pt>
                <c:pt idx="3">
                  <c:v>NÃO SE APLICA / NÃO SEI</c:v>
                </c:pt>
              </c:strCache>
            </c:strRef>
          </c:cat>
          <c:val>
            <c:numRef>
              <c:f>'Dashboard-1-AVALIAÇÃO INST.'!$E$72:$E$75</c:f>
              <c:numCache>
                <c:formatCode>0%</c:formatCode>
                <c:ptCount val="4"/>
                <c:pt idx="0">
                  <c:v>0.81034482758620685</c:v>
                </c:pt>
                <c:pt idx="1">
                  <c:v>3.4482758620689655E-2</c:v>
                </c:pt>
                <c:pt idx="2">
                  <c:v>1.7241379310344827E-2</c:v>
                </c:pt>
                <c:pt idx="3">
                  <c:v>0.13793103448275862</c:v>
                </c:pt>
              </c:numCache>
            </c:numRef>
          </c:val>
          <c:extLst>
            <c:ext xmlns:c16="http://schemas.microsoft.com/office/drawing/2014/chart" uri="{C3380CC4-5D6E-409C-BE32-E72D297353CC}">
              <c16:uniqueId val="{00000003-9BAB-F442-84F7-54B3178245C8}"/>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09 - </a:t>
            </a:r>
            <a:r>
              <a:rPr lang="pt-BR" sz="1200" b="0" i="0" u="none" strike="noStrike" cap="none" baseline="0">
                <a:effectLst/>
              </a:rPr>
              <a:t>O PGMAT tem contribuído para a inclusão social ?</a:t>
            </a:r>
            <a:r>
              <a:rPr lang="pt-BR" sz="1200"/>
              <a:t> </a:t>
            </a:r>
          </a:p>
        </c:rich>
      </c:tx>
      <c:layout>
        <c:manualLayout>
          <c:xMode val="edge"/>
          <c:yMode val="edge"/>
          <c:x val="0.16915126904377173"/>
          <c:y val="3.1243902662972493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INST.'!$D$93:$D$96</c:f>
              <c:strCache>
                <c:ptCount val="4"/>
                <c:pt idx="0">
                  <c:v>MUITO BOM / ÓTIMO</c:v>
                </c:pt>
                <c:pt idx="1">
                  <c:v>BOM</c:v>
                </c:pt>
                <c:pt idx="2">
                  <c:v>RUIM / REGULAR</c:v>
                </c:pt>
                <c:pt idx="3">
                  <c:v>NÃO SE APLICA / NÃO SEI</c:v>
                </c:pt>
              </c:strCache>
            </c:strRef>
          </c:cat>
          <c:val>
            <c:numRef>
              <c:f>'Dashboard-1-AVALIAÇÃO INST.'!$F$93:$F$96</c:f>
              <c:numCache>
                <c:formatCode>0%</c:formatCode>
                <c:ptCount val="4"/>
                <c:pt idx="0">
                  <c:v>0.68888888888888888</c:v>
                </c:pt>
                <c:pt idx="1">
                  <c:v>0.15555555555555556</c:v>
                </c:pt>
                <c:pt idx="2">
                  <c:v>8.8888888888888892E-2</c:v>
                </c:pt>
                <c:pt idx="3">
                  <c:v>6.6666666666666666E-2</c:v>
                </c:pt>
              </c:numCache>
            </c:numRef>
          </c:val>
          <c:extLst>
            <c:ext xmlns:c16="http://schemas.microsoft.com/office/drawing/2014/chart" uri="{C3380CC4-5D6E-409C-BE32-E72D297353CC}">
              <c16:uniqueId val="{00000000-68E2-E845-924A-E3990A4E22DB}"/>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E2-E845-924A-E3990A4E22DB}"/>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E2-E845-924A-E3990A4E22D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INST.'!$D$93:$D$96</c:f>
              <c:strCache>
                <c:ptCount val="4"/>
                <c:pt idx="0">
                  <c:v>MUITO BOM / ÓTIMO</c:v>
                </c:pt>
                <c:pt idx="1">
                  <c:v>BOM</c:v>
                </c:pt>
                <c:pt idx="2">
                  <c:v>RUIM / REGULAR</c:v>
                </c:pt>
                <c:pt idx="3">
                  <c:v>NÃO SE APLICA / NÃO SEI</c:v>
                </c:pt>
              </c:strCache>
            </c:strRef>
          </c:cat>
          <c:val>
            <c:numRef>
              <c:f>'Dashboard-1-AVALIAÇÃO INST.'!$E$93:$E$96</c:f>
              <c:numCache>
                <c:formatCode>0%</c:formatCode>
                <c:ptCount val="4"/>
                <c:pt idx="0">
                  <c:v>0.51724137931034486</c:v>
                </c:pt>
                <c:pt idx="1">
                  <c:v>0.1206896551724138</c:v>
                </c:pt>
                <c:pt idx="2">
                  <c:v>8.6206896551724144E-2</c:v>
                </c:pt>
                <c:pt idx="3">
                  <c:v>0.27586206896551724</c:v>
                </c:pt>
              </c:numCache>
            </c:numRef>
          </c:val>
          <c:extLst>
            <c:ext xmlns:c16="http://schemas.microsoft.com/office/drawing/2014/chart" uri="{C3380CC4-5D6E-409C-BE32-E72D297353CC}">
              <c16:uniqueId val="{00000003-68E2-E845-924A-E3990A4E22DB}"/>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baseline="0">
                <a:solidFill>
                  <a:schemeClr val="tx1">
                    <a:lumMod val="65000"/>
                    <a:lumOff val="35000"/>
                  </a:schemeClr>
                </a:solidFill>
                <a:latin typeface="+mn-lt"/>
                <a:ea typeface="+mn-ea"/>
                <a:cs typeface="+mn-cs"/>
              </a:defRPr>
            </a:pPr>
            <a:r>
              <a:rPr lang="pt-BR" sz="1200"/>
              <a:t>QUESTÃO 10 - </a:t>
            </a:r>
            <a:r>
              <a:rPr lang="pt-BR" sz="1200" b="0" i="0" u="none" strike="noStrike" cap="none" baseline="0">
                <a:effectLst/>
              </a:rPr>
              <a:t>O PGMAT tem contribuído para a preservação do meio ambiente ?</a:t>
            </a:r>
            <a:r>
              <a:rPr lang="pt-BR" sz="1200"/>
              <a:t> </a:t>
            </a:r>
          </a:p>
        </c:rich>
      </c:tx>
      <c:layout>
        <c:manualLayout>
          <c:xMode val="edge"/>
          <c:yMode val="edge"/>
          <c:x val="0.18171063817061103"/>
          <c:y val="1.9752627113305748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INST.'!$D$113:$D$116</c:f>
              <c:strCache>
                <c:ptCount val="4"/>
                <c:pt idx="0">
                  <c:v>MUITO BOM / ÓTIMO</c:v>
                </c:pt>
                <c:pt idx="1">
                  <c:v>BOM</c:v>
                </c:pt>
                <c:pt idx="2">
                  <c:v>RUIM / REGULAR</c:v>
                </c:pt>
                <c:pt idx="3">
                  <c:v>NÃO SE APLICA / NÃO SEI</c:v>
                </c:pt>
              </c:strCache>
            </c:strRef>
          </c:cat>
          <c:val>
            <c:numRef>
              <c:f>'Dashboard-1-AVALIAÇÃO INST.'!$F$113:$F$116</c:f>
              <c:numCache>
                <c:formatCode>0%</c:formatCode>
                <c:ptCount val="4"/>
                <c:pt idx="0">
                  <c:v>0.77777777777777779</c:v>
                </c:pt>
                <c:pt idx="1">
                  <c:v>0.1111111111111111</c:v>
                </c:pt>
                <c:pt idx="2">
                  <c:v>4.4444444444444446E-2</c:v>
                </c:pt>
                <c:pt idx="3">
                  <c:v>6.6666666666666666E-2</c:v>
                </c:pt>
              </c:numCache>
            </c:numRef>
          </c:val>
          <c:extLst>
            <c:ext xmlns:c16="http://schemas.microsoft.com/office/drawing/2014/chart" uri="{C3380CC4-5D6E-409C-BE32-E72D297353CC}">
              <c16:uniqueId val="{00000000-7568-414F-B5B5-17FC11F7C63E}"/>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8-414F-B5B5-17FC11F7C63E}"/>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8-414F-B5B5-17FC11F7C63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INST.'!$D$113:$D$116</c:f>
              <c:strCache>
                <c:ptCount val="4"/>
                <c:pt idx="0">
                  <c:v>MUITO BOM / ÓTIMO</c:v>
                </c:pt>
                <c:pt idx="1">
                  <c:v>BOM</c:v>
                </c:pt>
                <c:pt idx="2">
                  <c:v>RUIM / REGULAR</c:v>
                </c:pt>
                <c:pt idx="3">
                  <c:v>NÃO SE APLICA / NÃO SEI</c:v>
                </c:pt>
              </c:strCache>
            </c:strRef>
          </c:cat>
          <c:val>
            <c:numRef>
              <c:f>'Dashboard-1-AVALIAÇÃO INST.'!$E$113:$E$116</c:f>
              <c:numCache>
                <c:formatCode>0%</c:formatCode>
                <c:ptCount val="4"/>
                <c:pt idx="0">
                  <c:v>0.62068965517241381</c:v>
                </c:pt>
                <c:pt idx="1">
                  <c:v>0.10344827586206896</c:v>
                </c:pt>
                <c:pt idx="2">
                  <c:v>8.6206896551724144E-2</c:v>
                </c:pt>
                <c:pt idx="3">
                  <c:v>0.18965517241379309</c:v>
                </c:pt>
              </c:numCache>
            </c:numRef>
          </c:val>
          <c:extLst>
            <c:ext xmlns:c16="http://schemas.microsoft.com/office/drawing/2014/chart" uri="{C3380CC4-5D6E-409C-BE32-E72D297353CC}">
              <c16:uniqueId val="{00000003-7568-414F-B5B5-17FC11F7C63E}"/>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pt-BR" sz="1400"/>
              <a:t>Avaliação</a:t>
            </a:r>
            <a:r>
              <a:rPr lang="pt-BR" sz="1400" baseline="0"/>
              <a:t> institucional</a:t>
            </a:r>
            <a:endParaRPr lang="pt-BR" sz="1400"/>
          </a:p>
        </c:rich>
      </c:tx>
      <c:layout>
        <c:manualLayout>
          <c:xMode val="edge"/>
          <c:yMode val="edge"/>
          <c:x val="0.27297717532143928"/>
          <c:y val="1.0708661417322836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4.9475065616797912E-3"/>
          <c:y val="0.16752109317379354"/>
          <c:w val="0.47775392013295559"/>
          <c:h val="0.77433649025143081"/>
        </c:manualLayout>
      </c:layout>
      <c:barChart>
        <c:barDir val="col"/>
        <c:grouping val="stacked"/>
        <c:varyColors val="0"/>
        <c:ser>
          <c:idx val="0"/>
          <c:order val="0"/>
          <c:tx>
            <c:v>2020,2</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'Dashboard-1-AVALIAÇÃO INST.'!$A$37:$B$37</c:f>
              <c:numCache>
                <c:formatCode>0%</c:formatCode>
                <c:ptCount val="1"/>
                <c:pt idx="0">
                  <c:v>0.56310679611650483</c:v>
                </c:pt>
              </c:numCache>
            </c:numRef>
          </c:val>
          <c:extLst>
            <c:ext xmlns:c16="http://schemas.microsoft.com/office/drawing/2014/chart" uri="{C3380CC4-5D6E-409C-BE32-E72D297353CC}">
              <c16:uniqueId val="{00000000-5926-4ABF-B9A5-8838631D169D}"/>
            </c:ext>
          </c:extLst>
        </c:ser>
        <c:ser>
          <c:idx val="1"/>
          <c:order val="1"/>
          <c:tx>
            <c:v>2020,3</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'Dashboard-1-AVALIAÇÃO INST.'!$A$40:$B$40</c:f>
              <c:numCache>
                <c:formatCode>0%</c:formatCode>
                <c:ptCount val="1"/>
                <c:pt idx="0">
                  <c:v>0.43689320388349512</c:v>
                </c:pt>
              </c:numCache>
            </c:numRef>
          </c:val>
          <c:extLst>
            <c:ext xmlns:c16="http://schemas.microsoft.com/office/drawing/2014/chart" uri="{C3380CC4-5D6E-409C-BE32-E72D297353CC}">
              <c16:uniqueId val="{00000001-5926-4ABF-B9A5-8838631D169D}"/>
            </c:ext>
          </c:extLst>
        </c:ser>
        <c:dLbls>
          <c:dLblPos val="ctr"/>
          <c:showLegendKey val="0"/>
          <c:showVal val="1"/>
          <c:showCatName val="0"/>
          <c:showSerName val="0"/>
          <c:showPercent val="0"/>
          <c:showBubbleSize val="0"/>
        </c:dLbls>
        <c:gapWidth val="79"/>
        <c:overlap val="100"/>
        <c:axId val="1467022800"/>
        <c:axId val="1467020304"/>
      </c:barChart>
      <c:catAx>
        <c:axId val="14670228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67020304"/>
        <c:crosses val="autoZero"/>
        <c:auto val="1"/>
        <c:lblAlgn val="ctr"/>
        <c:lblOffset val="100"/>
        <c:noMultiLvlLbl val="0"/>
      </c:catAx>
      <c:valAx>
        <c:axId val="1467020304"/>
        <c:scaling>
          <c:orientation val="minMax"/>
          <c:max val="1"/>
        </c:scaling>
        <c:delete val="1"/>
        <c:axPos val="l"/>
        <c:numFmt formatCode="0%" sourceLinked="1"/>
        <c:majorTickMark val="none"/>
        <c:minorTickMark val="none"/>
        <c:tickLblPos val="nextTo"/>
        <c:crossAx val="1467022800"/>
        <c:crosses val="autoZero"/>
        <c:crossBetween val="between"/>
      </c:valAx>
      <c:spPr>
        <a:noFill/>
        <a:ln>
          <a:noFill/>
        </a:ln>
        <a:effectLst/>
      </c:spPr>
    </c:plotArea>
    <c:legend>
      <c:legendPos val="t"/>
      <c:layout>
        <c:manualLayout>
          <c:xMode val="edge"/>
          <c:yMode val="edge"/>
          <c:x val="0.44793125017617663"/>
          <c:y val="0.58041463281827721"/>
          <c:w val="0.48562486485850892"/>
          <c:h val="8.753250681780558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pt-BR"/>
              <a:t>Questão 03 - Se for Egresso, em que ano se Formou</a:t>
            </a:r>
            <a:r>
              <a:rPr lang="pt-BR" baseline="0"/>
              <a:t> </a:t>
            </a:r>
            <a:r>
              <a:rPr lang="pt-BR"/>
              <a:t>? </a:t>
            </a:r>
          </a:p>
        </c:rich>
      </c:tx>
      <c:layout>
        <c:manualLayout>
          <c:xMode val="edge"/>
          <c:yMode val="edge"/>
          <c:x val="4.9816425120772945E-2"/>
          <c:y val="2.3494855066112812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9.3921574641019995E-2"/>
          <c:y val="0.15560582292977579"/>
          <c:w val="0.54146415973001472"/>
          <c:h val="0.81903790762395912"/>
        </c:manualLayout>
      </c:layout>
      <c:pie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B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'Dashboard-1-AVALIAÇÃO INST.'!$A$79:$A$84</c:f>
              <c:strCache>
                <c:ptCount val="6"/>
                <c:pt idx="0">
                  <c:v>2020</c:v>
                </c:pt>
                <c:pt idx="1">
                  <c:v>2019</c:v>
                </c:pt>
                <c:pt idx="2">
                  <c:v>2018</c:v>
                </c:pt>
                <c:pt idx="3">
                  <c:v>2017</c:v>
                </c:pt>
                <c:pt idx="4">
                  <c:v>Anterior a 2017</c:v>
                </c:pt>
                <c:pt idx="5">
                  <c:v>Não se aplica</c:v>
                </c:pt>
              </c:strCache>
            </c:strRef>
          </c:cat>
          <c:val>
            <c:numRef>
              <c:f>'Dashboard-1-AVALIAÇÃO INST.'!$B$79:$B$84</c:f>
            </c:numRef>
          </c:val>
          <c:extLst>
            <c:ext xmlns:c16="http://schemas.microsoft.com/office/drawing/2014/chart" uri="{C3380CC4-5D6E-409C-BE32-E72D297353CC}">
              <c16:uniqueId val="{00000000-4543-420E-892C-7C192CBEB2BF}"/>
            </c:ext>
          </c:extLst>
        </c:ser>
        <c:ser>
          <c:idx val="1"/>
          <c:order val="1"/>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544-764A-82D1-5A5A5F32EA2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544-764A-82D1-5A5A5F32EA2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8544-764A-82D1-5A5A5F32EA2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8544-764A-82D1-5A5A5F32EA2B}"/>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8544-764A-82D1-5A5A5F32EA2B}"/>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8544-764A-82D1-5A5A5F32EA2B}"/>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lt1"/>
                    </a:solidFill>
                    <a:latin typeface="+mn-lt"/>
                    <a:ea typeface="+mn-ea"/>
                    <a:cs typeface="+mn-cs"/>
                  </a:defRPr>
                </a:pPr>
                <a:endParaRPr lang="pt-B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'Dashboard-1-AVALIAÇÃO INST.'!$A$79:$A$84</c:f>
              <c:strCache>
                <c:ptCount val="6"/>
                <c:pt idx="0">
                  <c:v>2020</c:v>
                </c:pt>
                <c:pt idx="1">
                  <c:v>2019</c:v>
                </c:pt>
                <c:pt idx="2">
                  <c:v>2018</c:v>
                </c:pt>
                <c:pt idx="3">
                  <c:v>2017</c:v>
                </c:pt>
                <c:pt idx="4">
                  <c:v>Anterior a 2017</c:v>
                </c:pt>
                <c:pt idx="5">
                  <c:v>Não se aplica</c:v>
                </c:pt>
              </c:strCache>
            </c:strRef>
          </c:cat>
          <c:val>
            <c:numRef>
              <c:f>'Dashboard-1-AVALIAÇÃO INST.'!$A$85:$A$90</c:f>
              <c:numCache>
                <c:formatCode>General</c:formatCode>
                <c:ptCount val="6"/>
                <c:pt idx="0">
                  <c:v>6</c:v>
                </c:pt>
                <c:pt idx="1">
                  <c:v>5</c:v>
                </c:pt>
                <c:pt idx="2">
                  <c:v>3</c:v>
                </c:pt>
                <c:pt idx="3">
                  <c:v>5</c:v>
                </c:pt>
                <c:pt idx="4">
                  <c:v>25</c:v>
                </c:pt>
                <c:pt idx="5">
                  <c:v>59</c:v>
                </c:pt>
              </c:numCache>
            </c:numRef>
          </c:val>
          <c:extLst>
            <c:ext xmlns:c16="http://schemas.microsoft.com/office/drawing/2014/chart" uri="{C3380CC4-5D6E-409C-BE32-E72D297353CC}">
              <c16:uniqueId val="{00000001-4543-420E-892C-7C192CBEB2BF}"/>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74207849752153232"/>
          <c:y val="0.22021539375846849"/>
          <c:w val="0.23148815093765454"/>
          <c:h val="0.648372844370150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1" i="0" u="none" strike="noStrike" kern="1200" cap="all" spc="50" baseline="0">
                <a:solidFill>
                  <a:schemeClr val="tx1">
                    <a:lumMod val="65000"/>
                    <a:lumOff val="35000"/>
                  </a:schemeClr>
                </a:solidFill>
                <a:latin typeface="+mn-lt"/>
                <a:ea typeface="+mn-ea"/>
                <a:cs typeface="+mn-cs"/>
              </a:defRPr>
            </a:pPr>
            <a:r>
              <a:rPr lang="pt-BR" sz="1500" b="0"/>
              <a:t>Questão 04 - Se for egresso, em que curso/nível se formou (mais recente) ?</a:t>
            </a:r>
          </a:p>
        </c:rich>
      </c:tx>
      <c:overlay val="0"/>
      <c:spPr>
        <a:noFill/>
        <a:ln>
          <a:noFill/>
        </a:ln>
        <a:effectLst/>
      </c:spPr>
      <c:txPr>
        <a:bodyPr rot="0" spcFirstLastPara="1" vertOverflow="ellipsis" vert="horz" wrap="square" anchor="ctr" anchorCtr="1"/>
        <a:lstStyle/>
        <a:p>
          <a:pPr>
            <a:defRPr sz="1560" b="1" i="0" u="none" strike="noStrike" kern="1200" cap="all" spc="5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8842614097698225E-2"/>
          <c:y val="0.1596126659074964"/>
          <c:w val="0.53696935365093756"/>
          <c:h val="0.7985598080223286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D34-394B-978B-5F8D40398BFA}"/>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D34-394B-978B-5F8D40398BFA}"/>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D34-394B-978B-5F8D40398BFA}"/>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D34-394B-978B-5F8D40398BFA}"/>
              </c:ext>
            </c:extLst>
          </c:dPt>
          <c:dLbls>
            <c:spPr>
              <a:noFill/>
              <a:ln>
                <a:noFill/>
              </a:ln>
              <a:effectLst/>
            </c:spPr>
            <c:txPr>
              <a:bodyPr rot="0" spcFirstLastPara="1" vertOverflow="ellipsis" vert="horz" wrap="square" anchor="ctr" anchorCtr="1"/>
              <a:lstStyle/>
              <a:p>
                <a:pPr>
                  <a:defRPr sz="1400" b="0" i="0" u="none" strike="noStrike" kern="1200" baseline="0">
                    <a:solidFill>
                      <a:schemeClr val="lt1"/>
                    </a:solidFill>
                    <a:latin typeface="+mn-lt"/>
                    <a:ea typeface="+mn-ea"/>
                    <a:cs typeface="+mn-cs"/>
                  </a:defRPr>
                </a:pPr>
                <a:endParaRPr lang="pt-B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'Dashboard-1-AVALIAÇÃO INST.'!$A$103:$B$106</c:f>
              <c:strCache>
                <c:ptCount val="4"/>
                <c:pt idx="0">
                  <c:v>Pós-Doutorado</c:v>
                </c:pt>
                <c:pt idx="1">
                  <c:v>Doutorado</c:v>
                </c:pt>
                <c:pt idx="2">
                  <c:v>Mestrado</c:v>
                </c:pt>
                <c:pt idx="3">
                  <c:v>Não se aplica</c:v>
                </c:pt>
              </c:strCache>
            </c:strRef>
          </c:cat>
          <c:val>
            <c:numRef>
              <c:f>'Dashboard-1-AVALIAÇÃO INST.'!$A$108:$A$111</c:f>
              <c:numCache>
                <c:formatCode>General</c:formatCode>
                <c:ptCount val="4"/>
                <c:pt idx="0">
                  <c:v>8</c:v>
                </c:pt>
                <c:pt idx="1">
                  <c:v>21</c:v>
                </c:pt>
                <c:pt idx="2">
                  <c:v>15</c:v>
                </c:pt>
                <c:pt idx="3">
                  <c:v>59</c:v>
                </c:pt>
              </c:numCache>
            </c:numRef>
          </c:val>
          <c:extLst>
            <c:ext xmlns:c16="http://schemas.microsoft.com/office/drawing/2014/chart" uri="{C3380CC4-5D6E-409C-BE32-E72D297353CC}">
              <c16:uniqueId val="{00000000-CA48-4264-ADAD-9F0C18AA06BD}"/>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71484416246530336"/>
          <c:y val="0.28126892923669428"/>
          <c:w val="0.2594233274797485"/>
          <c:h val="0.5045188955909799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300"/>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a:t>QUESTÃO</a:t>
            </a:r>
            <a:r>
              <a:rPr lang="pt-BR" sz="1200" baseline="0"/>
              <a:t> 1 -  As orientações recebidas foram suficientes e claras para o desempenho das suas atividades?  </a:t>
            </a:r>
            <a:endParaRPr lang="pt-BR" sz="12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DIS-EGRES'!$D$18:$D$21</c:f>
              <c:strCache>
                <c:ptCount val="4"/>
                <c:pt idx="0">
                  <c:v>MUITO BOM / ÓTIMO</c:v>
                </c:pt>
                <c:pt idx="1">
                  <c:v>BOM</c:v>
                </c:pt>
                <c:pt idx="2">
                  <c:v>RUIM / REGULAR</c:v>
                </c:pt>
                <c:pt idx="3">
                  <c:v>NÃO SE APLICA / NÃO SEI</c:v>
                </c:pt>
              </c:strCache>
            </c:strRef>
          </c:cat>
          <c:val>
            <c:numRef>
              <c:f>'Dashboard-2-AVALIAÇÃO DIS-EGRES'!$F$18:$F$21</c:f>
              <c:numCache>
                <c:formatCode>0%</c:formatCode>
                <c:ptCount val="4"/>
                <c:pt idx="0">
                  <c:v>0.82857142857142851</c:v>
                </c:pt>
                <c:pt idx="1">
                  <c:v>5.7142857142857141E-2</c:v>
                </c:pt>
                <c:pt idx="2">
                  <c:v>8.5714285714285715E-2</c:v>
                </c:pt>
                <c:pt idx="3">
                  <c:v>2.8571428571428571E-2</c:v>
                </c:pt>
              </c:numCache>
            </c:numRef>
          </c:val>
          <c:extLst>
            <c:ext xmlns:c16="http://schemas.microsoft.com/office/drawing/2014/chart" uri="{C3380CC4-5D6E-409C-BE32-E72D297353CC}">
              <c16:uniqueId val="{00000004-FE39-42CC-9014-F7457FB88347}"/>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DIS-EGRES'!$D$18:$D$21</c:f>
              <c:strCache>
                <c:ptCount val="4"/>
                <c:pt idx="0">
                  <c:v>MUITO BOM / ÓTIMO</c:v>
                </c:pt>
                <c:pt idx="1">
                  <c:v>BOM</c:v>
                </c:pt>
                <c:pt idx="2">
                  <c:v>RUIM / REGULAR</c:v>
                </c:pt>
                <c:pt idx="3">
                  <c:v>NÃO SE APLICA / NÃO SEI</c:v>
                </c:pt>
              </c:strCache>
            </c:strRef>
          </c:cat>
          <c:val>
            <c:numRef>
              <c:f>'Dashboard-2-AVALIAÇÃO DIS-EGRES'!$E$18:$E$21</c:f>
              <c:numCache>
                <c:formatCode>0%</c:formatCode>
                <c:ptCount val="4"/>
                <c:pt idx="0">
                  <c:v>0.77419354838709675</c:v>
                </c:pt>
                <c:pt idx="1">
                  <c:v>0.16129032258064516</c:v>
                </c:pt>
                <c:pt idx="2">
                  <c:v>6.4516129032258063E-2</c:v>
                </c:pt>
                <c:pt idx="3">
                  <c:v>0</c:v>
                </c:pt>
              </c:numCache>
            </c:numRef>
          </c:val>
          <c:extLst>
            <c:ext xmlns:c16="http://schemas.microsoft.com/office/drawing/2014/chart" uri="{C3380CC4-5D6E-409C-BE32-E72D297353CC}">
              <c16:uniqueId val="{00000003-FE39-42CC-9014-F7457FB88347}"/>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01 - As orientações recebidas foram suficientes e claras para o desempenho das suas atividades?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DIS-EGRES'!$T$17:$T$20</c:f>
              <c:strCache>
                <c:ptCount val="4"/>
                <c:pt idx="0">
                  <c:v>MUITO BOM / ÓTIMO</c:v>
                </c:pt>
                <c:pt idx="1">
                  <c:v>BOM</c:v>
                </c:pt>
                <c:pt idx="2">
                  <c:v>RUIM / REGULAR</c:v>
                </c:pt>
                <c:pt idx="3">
                  <c:v>NÃO SE APLICA / NÃO SEI</c:v>
                </c:pt>
              </c:strCache>
            </c:strRef>
          </c:cat>
          <c:val>
            <c:numRef>
              <c:f>'Dashboard-2-AVALIAÇÃO DIS-EGRES'!$U$17:$U$20</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3FEC-4E6A-A828-55129F47209B}"/>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a:t>QUESTÃO</a:t>
            </a:r>
            <a:r>
              <a:rPr lang="pt-BR" sz="1200" baseline="0"/>
              <a:t> 2 -  O orientador esteve disponível e acessível para atendimentos ? </a:t>
            </a:r>
            <a:endParaRPr lang="pt-BR" sz="12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DIS-EGRES'!$D$37:$D$40</c:f>
              <c:strCache>
                <c:ptCount val="4"/>
                <c:pt idx="0">
                  <c:v>MUITO BOM / ÓTIMO</c:v>
                </c:pt>
                <c:pt idx="1">
                  <c:v>BOM</c:v>
                </c:pt>
                <c:pt idx="2">
                  <c:v>RUIM / REGULAR</c:v>
                </c:pt>
                <c:pt idx="3">
                  <c:v>NÃO SE APLICA / NÃO SEI</c:v>
                </c:pt>
              </c:strCache>
            </c:strRef>
          </c:cat>
          <c:val>
            <c:numRef>
              <c:f>'Dashboard-2-AVALIAÇÃO DIS-EGRES'!$F$37:$F$40</c:f>
              <c:numCache>
                <c:formatCode>0%</c:formatCode>
                <c:ptCount val="4"/>
                <c:pt idx="0">
                  <c:v>0.88571428571428579</c:v>
                </c:pt>
                <c:pt idx="1">
                  <c:v>0</c:v>
                </c:pt>
                <c:pt idx="2">
                  <c:v>8.5714285714285715E-2</c:v>
                </c:pt>
                <c:pt idx="3">
                  <c:v>2.8571428571428571E-2</c:v>
                </c:pt>
              </c:numCache>
            </c:numRef>
          </c:val>
          <c:extLst>
            <c:ext xmlns:c16="http://schemas.microsoft.com/office/drawing/2014/chart" uri="{C3380CC4-5D6E-409C-BE32-E72D297353CC}">
              <c16:uniqueId val="{00000000-F6FF-46B7-BCB1-3AC95BD1791D}"/>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DIS-EGRES'!$D$37:$D$40</c:f>
              <c:strCache>
                <c:ptCount val="4"/>
                <c:pt idx="0">
                  <c:v>MUITO BOM / ÓTIMO</c:v>
                </c:pt>
                <c:pt idx="1">
                  <c:v>BOM</c:v>
                </c:pt>
                <c:pt idx="2">
                  <c:v>RUIM / REGULAR</c:v>
                </c:pt>
                <c:pt idx="3">
                  <c:v>NÃO SE APLICA / NÃO SEI</c:v>
                </c:pt>
              </c:strCache>
            </c:strRef>
          </c:cat>
          <c:val>
            <c:numRef>
              <c:f>'Dashboard-2-AVALIAÇÃO DIS-EGRES'!$E$37:$E$40</c:f>
              <c:numCache>
                <c:formatCode>0%</c:formatCode>
                <c:ptCount val="4"/>
                <c:pt idx="0">
                  <c:v>0.80645161290322576</c:v>
                </c:pt>
                <c:pt idx="1">
                  <c:v>6.4516129032258063E-2</c:v>
                </c:pt>
                <c:pt idx="2">
                  <c:v>9.6774193548387094E-2</c:v>
                </c:pt>
                <c:pt idx="3">
                  <c:v>3.2258064516129031E-2</c:v>
                </c:pt>
              </c:numCache>
            </c:numRef>
          </c:val>
          <c:extLst>
            <c:ext xmlns:c16="http://schemas.microsoft.com/office/drawing/2014/chart" uri="{C3380CC4-5D6E-409C-BE32-E72D297353CC}">
              <c16:uniqueId val="{00000001-F6FF-46B7-BCB1-3AC95BD1791D}"/>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02 -  O orientador esteve disponível e acessível para atendimentos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DIS-EGRES'!$T$36:$T$39</c:f>
              <c:strCache>
                <c:ptCount val="4"/>
                <c:pt idx="0">
                  <c:v>MUITO BOM / ÓTIMO</c:v>
                </c:pt>
                <c:pt idx="1">
                  <c:v>BOM</c:v>
                </c:pt>
                <c:pt idx="2">
                  <c:v>RUIM / REGULAR</c:v>
                </c:pt>
                <c:pt idx="3">
                  <c:v>NÃO SE APLICA / NÃO SEI</c:v>
                </c:pt>
              </c:strCache>
            </c:strRef>
          </c:cat>
          <c:val>
            <c:numRef>
              <c:f>'Dashboard-2-AVALIAÇÃO DIS-EGRES'!$U$36:$U$39</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BDDE-439A-BAE6-4E0DB991719D}"/>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08</a:t>
            </a:r>
            <a:r>
              <a:rPr lang="pt-BR" baseline="0"/>
              <a:t> - </a:t>
            </a:r>
            <a:r>
              <a:rPr lang="pt-BR"/>
              <a:t>O PGMAT tem contribuído para o desenvolvimento da Missão da UFSC ?</a:t>
            </a: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INST.'!$T$71:$T$74</c:f>
              <c:strCache>
                <c:ptCount val="4"/>
                <c:pt idx="0">
                  <c:v>MUITO BOM / ÓTIMO</c:v>
                </c:pt>
                <c:pt idx="1">
                  <c:v>BOM</c:v>
                </c:pt>
                <c:pt idx="2">
                  <c:v>RUIM / REGULAR</c:v>
                </c:pt>
                <c:pt idx="3">
                  <c:v>NÃO SE APLICA / NÃO SEI</c:v>
                </c:pt>
              </c:strCache>
            </c:strRef>
          </c:cat>
          <c:val>
            <c:numRef>
              <c:f>'Dashboard-1-AVALIAÇÃO INST.'!$U$71:$U$74</c:f>
              <c:numCache>
                <c:formatCode>0%</c:formatCode>
                <c:ptCount val="4"/>
                <c:pt idx="0">
                  <c:v>0.84466019417475735</c:v>
                </c:pt>
                <c:pt idx="1">
                  <c:v>2.9126213592233011E-2</c:v>
                </c:pt>
                <c:pt idx="2">
                  <c:v>1.9417475728155338E-2</c:v>
                </c:pt>
                <c:pt idx="3">
                  <c:v>0.10679611650485436</c:v>
                </c:pt>
              </c:numCache>
            </c:numRef>
          </c:val>
          <c:extLst>
            <c:ext xmlns:c16="http://schemas.microsoft.com/office/drawing/2014/chart" uri="{C3380CC4-5D6E-409C-BE32-E72D297353CC}">
              <c16:uniqueId val="{00000000-2A39-4A54-9447-52DF8A037892}"/>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dados 1 - 2020.2</a:t>
            </a:r>
          </a:p>
          <a:p>
            <a:pPr>
              <a:defRPr/>
            </a:pPr>
            <a:r>
              <a:rPr lang="en-US" sz="1200"/>
              <a:t>dados 2 - 2020.3</a:t>
            </a:r>
          </a:p>
        </c:rich>
      </c:tx>
      <c:layout>
        <c:manualLayout>
          <c:xMode val="edge"/>
          <c:yMode val="edge"/>
          <c:x val="0.34553960166743863"/>
          <c:y val="4.15243983181374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2990036397675433E-2"/>
          <c:y val="0.18643931755881579"/>
          <c:w val="0.81443126544618827"/>
          <c:h val="0.71890104519282616"/>
        </c:manualLayout>
      </c:layout>
      <c:lineChart>
        <c:grouping val="standard"/>
        <c:varyColors val="0"/>
        <c:ser>
          <c:idx val="0"/>
          <c:order val="0"/>
          <c:tx>
            <c:v>Autoavaliação DISCENTE - EGRESSO</c:v>
          </c:tx>
          <c:spPr>
            <a:ln w="28575" cap="rnd">
              <a:solidFill>
                <a:schemeClr val="accent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val>
            <c:numRef>
              <c:f>('Dashboard-2-AVALIAÇÃO DIS-EGRES'!$A$29,'Dashboard-2-AVALIAÇÃO DIS-EGRES'!$A$32)</c:f>
              <c:numCache>
                <c:formatCode>General</c:formatCode>
                <c:ptCount val="2"/>
                <c:pt idx="0">
                  <c:v>31</c:v>
                </c:pt>
                <c:pt idx="1">
                  <c:v>35</c:v>
                </c:pt>
              </c:numCache>
            </c:numRef>
          </c:val>
          <c:smooth val="0"/>
          <c:extLst>
            <c:ext xmlns:c16="http://schemas.microsoft.com/office/drawing/2014/chart" uri="{C3380CC4-5D6E-409C-BE32-E72D297353CC}">
              <c16:uniqueId val="{00000000-1B7D-4B82-B144-53F5A6FFAB2F}"/>
            </c:ext>
          </c:extLst>
        </c:ser>
        <c:dLbls>
          <c:showLegendKey val="0"/>
          <c:showVal val="0"/>
          <c:showCatName val="0"/>
          <c:showSerName val="0"/>
          <c:showPercent val="0"/>
          <c:showBubbleSize val="0"/>
        </c:dLbls>
        <c:smooth val="0"/>
        <c:axId val="365562432"/>
        <c:axId val="365561600"/>
      </c:lineChart>
      <c:catAx>
        <c:axId val="36556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crossAx val="365561600"/>
        <c:crosses val="autoZero"/>
        <c:auto val="1"/>
        <c:lblAlgn val="ctr"/>
        <c:lblOffset val="100"/>
        <c:noMultiLvlLbl val="0"/>
      </c:catAx>
      <c:valAx>
        <c:axId val="365561600"/>
        <c:scaling>
          <c:orientation val="minMax"/>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crossAx val="365562432"/>
        <c:crosses val="autoZero"/>
        <c:crossBetween val="between"/>
      </c:valAx>
      <c:spPr>
        <a:noFill/>
        <a:ln>
          <a:noFill/>
        </a:ln>
        <a:effectLst/>
      </c:spPr>
    </c:plotArea>
    <c:legend>
      <c:legendPos val="r"/>
      <c:layout>
        <c:manualLayout>
          <c:xMode val="edge"/>
          <c:yMode val="edge"/>
          <c:x val="0.15989902732746641"/>
          <c:y val="0.73887465535274777"/>
          <c:w val="0.6771274418751082"/>
          <c:h val="0.1358452294671035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a:t>QUESTÃO</a:t>
            </a:r>
            <a:r>
              <a:rPr lang="pt-BR" sz="1200" baseline="0"/>
              <a:t> 3 -  Os equipamentos e os insumos necessários para a realização do seu tema de pesquisa foram disponibilizados pelo seu orientador ?</a:t>
            </a:r>
            <a:endParaRPr lang="pt-BR" sz="12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DIS-EGRES'!$D$56:$D$59</c:f>
              <c:strCache>
                <c:ptCount val="4"/>
                <c:pt idx="0">
                  <c:v>MUITO BOM / ÓTIMO</c:v>
                </c:pt>
                <c:pt idx="1">
                  <c:v>BOM</c:v>
                </c:pt>
                <c:pt idx="2">
                  <c:v>RUIM / REGULAR</c:v>
                </c:pt>
                <c:pt idx="3">
                  <c:v>NÃO SE APLICA / NÃO SEI</c:v>
                </c:pt>
              </c:strCache>
            </c:strRef>
          </c:cat>
          <c:val>
            <c:numRef>
              <c:f>'Dashboard-2-AVALIAÇÃO DIS-EGRES'!$F$56:$F$59</c:f>
              <c:numCache>
                <c:formatCode>0%</c:formatCode>
                <c:ptCount val="4"/>
                <c:pt idx="0">
                  <c:v>0.88571428571428568</c:v>
                </c:pt>
                <c:pt idx="1">
                  <c:v>8.5714285714285715E-2</c:v>
                </c:pt>
                <c:pt idx="2">
                  <c:v>0</c:v>
                </c:pt>
                <c:pt idx="3">
                  <c:v>2.8571428571428571E-2</c:v>
                </c:pt>
              </c:numCache>
            </c:numRef>
          </c:val>
          <c:extLst>
            <c:ext xmlns:c16="http://schemas.microsoft.com/office/drawing/2014/chart" uri="{C3380CC4-5D6E-409C-BE32-E72D297353CC}">
              <c16:uniqueId val="{00000000-7725-4A22-9BA8-E3BAA36C2EAF}"/>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DIS-EGRES'!$D$56:$D$59</c:f>
              <c:strCache>
                <c:ptCount val="4"/>
                <c:pt idx="0">
                  <c:v>MUITO BOM / ÓTIMO</c:v>
                </c:pt>
                <c:pt idx="1">
                  <c:v>BOM</c:v>
                </c:pt>
                <c:pt idx="2">
                  <c:v>RUIM / REGULAR</c:v>
                </c:pt>
                <c:pt idx="3">
                  <c:v>NÃO SE APLICA / NÃO SEI</c:v>
                </c:pt>
              </c:strCache>
            </c:strRef>
          </c:cat>
          <c:val>
            <c:numRef>
              <c:f>'Dashboard-2-AVALIAÇÃO DIS-EGRES'!$E$56:$E$59</c:f>
              <c:numCache>
                <c:formatCode>0%</c:formatCode>
                <c:ptCount val="4"/>
                <c:pt idx="0">
                  <c:v>0.74193548387096775</c:v>
                </c:pt>
                <c:pt idx="1">
                  <c:v>0.22580645161290322</c:v>
                </c:pt>
                <c:pt idx="2">
                  <c:v>3.2258064516129031E-2</c:v>
                </c:pt>
                <c:pt idx="3">
                  <c:v>0</c:v>
                </c:pt>
              </c:numCache>
            </c:numRef>
          </c:val>
          <c:extLst>
            <c:ext xmlns:c16="http://schemas.microsoft.com/office/drawing/2014/chart" uri="{C3380CC4-5D6E-409C-BE32-E72D297353CC}">
              <c16:uniqueId val="{00000001-7725-4A22-9BA8-E3BAA36C2EAF}"/>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03 -  Os equipamentos e os insumos necessários para a realização do seu tema de pesquisa foram disponibilizados pelo seu orientador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DIS-EGRES'!$T$55:$T$58</c:f>
              <c:strCache>
                <c:ptCount val="4"/>
                <c:pt idx="0">
                  <c:v>MUITO BOM / ÓTIMO</c:v>
                </c:pt>
                <c:pt idx="1">
                  <c:v>BOM</c:v>
                </c:pt>
                <c:pt idx="2">
                  <c:v>RUIM / REGULAR</c:v>
                </c:pt>
                <c:pt idx="3">
                  <c:v>NÃO SE APLICA / NÃO SEI</c:v>
                </c:pt>
              </c:strCache>
            </c:strRef>
          </c:cat>
          <c:val>
            <c:numRef>
              <c:f>'Dashboard-2-AVALIAÇÃO DIS-EGRES'!$U$55:$U$58</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0193-4A3E-8010-828B059C716E}"/>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a:t>QUESTÃO</a:t>
            </a:r>
            <a:r>
              <a:rPr lang="pt-BR" sz="1200" baseline="0"/>
              <a:t> 4 - Seu orientador o incentivou a realizar estágio de docência ?</a:t>
            </a:r>
            <a:endParaRPr lang="pt-BR" sz="12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DIS-EGRES'!$D$78:$D$81</c:f>
              <c:strCache>
                <c:ptCount val="4"/>
                <c:pt idx="0">
                  <c:v>MUITO BOM / ÓTIMO</c:v>
                </c:pt>
                <c:pt idx="1">
                  <c:v>BOM</c:v>
                </c:pt>
                <c:pt idx="2">
                  <c:v>RUIM / REGULAR</c:v>
                </c:pt>
                <c:pt idx="3">
                  <c:v>NÃO SE APLICA / NÃO SEI</c:v>
                </c:pt>
              </c:strCache>
            </c:strRef>
          </c:cat>
          <c:val>
            <c:numRef>
              <c:f>'Dashboard-2-AVALIAÇÃO DIS-EGRES'!$F$78:$F$81</c:f>
              <c:numCache>
                <c:formatCode>0%</c:formatCode>
                <c:ptCount val="4"/>
                <c:pt idx="0">
                  <c:v>0.54285714285714293</c:v>
                </c:pt>
                <c:pt idx="1">
                  <c:v>0.11428571428571428</c:v>
                </c:pt>
                <c:pt idx="2">
                  <c:v>0.11428571428571428</c:v>
                </c:pt>
                <c:pt idx="3">
                  <c:v>0.22857142857142856</c:v>
                </c:pt>
              </c:numCache>
            </c:numRef>
          </c:val>
          <c:extLst>
            <c:ext xmlns:c16="http://schemas.microsoft.com/office/drawing/2014/chart" uri="{C3380CC4-5D6E-409C-BE32-E72D297353CC}">
              <c16:uniqueId val="{00000000-933A-4DAF-B8EF-1C7D28214875}"/>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DIS-EGRES'!$D$78:$D$81</c:f>
              <c:strCache>
                <c:ptCount val="4"/>
                <c:pt idx="0">
                  <c:v>MUITO BOM / ÓTIMO</c:v>
                </c:pt>
                <c:pt idx="1">
                  <c:v>BOM</c:v>
                </c:pt>
                <c:pt idx="2">
                  <c:v>RUIM / REGULAR</c:v>
                </c:pt>
                <c:pt idx="3">
                  <c:v>NÃO SE APLICA / NÃO SEI</c:v>
                </c:pt>
              </c:strCache>
            </c:strRef>
          </c:cat>
          <c:val>
            <c:numRef>
              <c:f>'Dashboard-2-AVALIAÇÃO DIS-EGRES'!$E$78:$E$81</c:f>
              <c:numCache>
                <c:formatCode>0%</c:formatCode>
                <c:ptCount val="4"/>
                <c:pt idx="0">
                  <c:v>0.41935483870967744</c:v>
                </c:pt>
                <c:pt idx="1">
                  <c:v>0.12903225806451613</c:v>
                </c:pt>
                <c:pt idx="2">
                  <c:v>0.16129032258064516</c:v>
                </c:pt>
                <c:pt idx="3">
                  <c:v>0.29032258064516131</c:v>
                </c:pt>
              </c:numCache>
            </c:numRef>
          </c:val>
          <c:extLst>
            <c:ext xmlns:c16="http://schemas.microsoft.com/office/drawing/2014/chart" uri="{C3380CC4-5D6E-409C-BE32-E72D297353CC}">
              <c16:uniqueId val="{00000001-933A-4DAF-B8EF-1C7D28214875}"/>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04 -  Seu orientador o incentivou a realizar estágio de docência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DIS-EGRES'!$T$77:$T$80</c:f>
              <c:strCache>
                <c:ptCount val="4"/>
                <c:pt idx="0">
                  <c:v>MUITO BOM / ÓTIMO</c:v>
                </c:pt>
                <c:pt idx="1">
                  <c:v>BOM</c:v>
                </c:pt>
                <c:pt idx="2">
                  <c:v>RUIM / REGULAR</c:v>
                </c:pt>
                <c:pt idx="3">
                  <c:v>NÃO SE APLICA / NÃO SEI</c:v>
                </c:pt>
              </c:strCache>
            </c:strRef>
          </c:cat>
          <c:val>
            <c:numRef>
              <c:f>'Dashboard-2-AVALIAÇÃO DIS-EGRES'!$U$77:$U$80</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E921-43DF-BD44-9BD5DBA85463}"/>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a:t>QUESTÃO 5 -</a:t>
            </a:r>
            <a:r>
              <a:rPr lang="pt-BR" sz="1200" baseline="0"/>
              <a:t> Seu orientador o incentivou a elaborar artigos científicos ?</a:t>
            </a:r>
            <a:endParaRPr lang="pt-BR" sz="12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DIS-EGRES'!$D$97:$D$100</c:f>
              <c:strCache>
                <c:ptCount val="4"/>
                <c:pt idx="0">
                  <c:v>MUITO BOM / ÓTIMO</c:v>
                </c:pt>
                <c:pt idx="1">
                  <c:v>BOM</c:v>
                </c:pt>
                <c:pt idx="2">
                  <c:v>RUIM / REGULAR</c:v>
                </c:pt>
                <c:pt idx="3">
                  <c:v>NÃO SE APLICA / NÃO SEI</c:v>
                </c:pt>
              </c:strCache>
            </c:strRef>
          </c:cat>
          <c:val>
            <c:numRef>
              <c:f>'Dashboard-2-AVALIAÇÃO DIS-EGRES'!$F$97:$F$100</c:f>
              <c:numCache>
                <c:formatCode>0%</c:formatCode>
                <c:ptCount val="4"/>
                <c:pt idx="0">
                  <c:v>0.82857142857142863</c:v>
                </c:pt>
                <c:pt idx="1">
                  <c:v>5.7142857142857141E-2</c:v>
                </c:pt>
                <c:pt idx="2">
                  <c:v>5.7142857142857141E-2</c:v>
                </c:pt>
                <c:pt idx="3">
                  <c:v>5.7142857142857141E-2</c:v>
                </c:pt>
              </c:numCache>
            </c:numRef>
          </c:val>
          <c:extLst>
            <c:ext xmlns:c16="http://schemas.microsoft.com/office/drawing/2014/chart" uri="{C3380CC4-5D6E-409C-BE32-E72D297353CC}">
              <c16:uniqueId val="{00000000-A671-4513-B84F-6369F1FB015E}"/>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DIS-EGRES'!$D$97:$D$100</c:f>
              <c:strCache>
                <c:ptCount val="4"/>
                <c:pt idx="0">
                  <c:v>MUITO BOM / ÓTIMO</c:v>
                </c:pt>
                <c:pt idx="1">
                  <c:v>BOM</c:v>
                </c:pt>
                <c:pt idx="2">
                  <c:v>RUIM / REGULAR</c:v>
                </c:pt>
                <c:pt idx="3">
                  <c:v>NÃO SE APLICA / NÃO SEI</c:v>
                </c:pt>
              </c:strCache>
            </c:strRef>
          </c:cat>
          <c:val>
            <c:numRef>
              <c:f>'Dashboard-2-AVALIAÇÃO DIS-EGRES'!$E$97:$E$100</c:f>
              <c:numCache>
                <c:formatCode>0%</c:formatCode>
                <c:ptCount val="4"/>
                <c:pt idx="0">
                  <c:v>0.67741935483870963</c:v>
                </c:pt>
                <c:pt idx="1">
                  <c:v>0.22580645161290322</c:v>
                </c:pt>
                <c:pt idx="2">
                  <c:v>9.6774193548387094E-2</c:v>
                </c:pt>
                <c:pt idx="3">
                  <c:v>0</c:v>
                </c:pt>
              </c:numCache>
            </c:numRef>
          </c:val>
          <c:extLst>
            <c:ext xmlns:c16="http://schemas.microsoft.com/office/drawing/2014/chart" uri="{C3380CC4-5D6E-409C-BE32-E72D297353CC}">
              <c16:uniqueId val="{00000001-A671-4513-B84F-6369F1FB015E}"/>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05 -  Seu orientador o incentivou a elaborar artigos científicos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DIS-EGRES'!$T$96:$T$99</c:f>
              <c:strCache>
                <c:ptCount val="4"/>
                <c:pt idx="0">
                  <c:v>MUITO BOM / ÓTIMO</c:v>
                </c:pt>
                <c:pt idx="1">
                  <c:v>BOM</c:v>
                </c:pt>
                <c:pt idx="2">
                  <c:v>RUIM / REGULAR</c:v>
                </c:pt>
                <c:pt idx="3">
                  <c:v>NÃO SE APLICA / NÃO SEI</c:v>
                </c:pt>
              </c:strCache>
            </c:strRef>
          </c:cat>
          <c:val>
            <c:numRef>
              <c:f>'Dashboard-2-AVALIAÇÃO DIS-EGRES'!$U$96:$U$99</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7436-49E1-879D-5F1CE1B57300}"/>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a:t>QUESTÃO 7 -</a:t>
            </a:r>
            <a:r>
              <a:rPr lang="pt-BR" sz="1200" baseline="0"/>
              <a:t> Os conhecimentos adquiridos durante o curso (mestrado/doutorado) foram importantes para a sua formação profissional ?</a:t>
            </a:r>
            <a:endParaRPr lang="pt-BR" sz="12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DIS-EGRES'!$D$116:$D$119</c:f>
              <c:strCache>
                <c:ptCount val="4"/>
                <c:pt idx="0">
                  <c:v>MUITO BOM / ÓTIMO</c:v>
                </c:pt>
                <c:pt idx="1">
                  <c:v>BOM</c:v>
                </c:pt>
                <c:pt idx="2">
                  <c:v>RUIM / REGULAR</c:v>
                </c:pt>
                <c:pt idx="3">
                  <c:v>NÃO SE APLICA / NÃO SEI</c:v>
                </c:pt>
              </c:strCache>
            </c:strRef>
          </c:cat>
          <c:val>
            <c:numRef>
              <c:f>'Dashboard-2-AVALIAÇÃO DIS-EGRES'!$F$116:$F$119</c:f>
              <c:numCache>
                <c:formatCode>0%</c:formatCode>
                <c:ptCount val="4"/>
                <c:pt idx="0">
                  <c:v>0.88571428571428568</c:v>
                </c:pt>
                <c:pt idx="1">
                  <c:v>0</c:v>
                </c:pt>
                <c:pt idx="2">
                  <c:v>2.8571428571428571E-2</c:v>
                </c:pt>
                <c:pt idx="3">
                  <c:v>8.5714285714285715E-2</c:v>
                </c:pt>
              </c:numCache>
            </c:numRef>
          </c:val>
          <c:extLst>
            <c:ext xmlns:c16="http://schemas.microsoft.com/office/drawing/2014/chart" uri="{C3380CC4-5D6E-409C-BE32-E72D297353CC}">
              <c16:uniqueId val="{00000000-A7D4-4962-9A8D-840CCFC6F7C3}"/>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DIS-EGRES'!$D$116:$D$119</c:f>
              <c:strCache>
                <c:ptCount val="4"/>
                <c:pt idx="0">
                  <c:v>MUITO BOM / ÓTIMO</c:v>
                </c:pt>
                <c:pt idx="1">
                  <c:v>BOM</c:v>
                </c:pt>
                <c:pt idx="2">
                  <c:v>RUIM / REGULAR</c:v>
                </c:pt>
                <c:pt idx="3">
                  <c:v>NÃO SE APLICA / NÃO SEI</c:v>
                </c:pt>
              </c:strCache>
            </c:strRef>
          </c:cat>
          <c:val>
            <c:numRef>
              <c:f>'Dashboard-2-AVALIAÇÃO DIS-EGRES'!$E$116:$E$119</c:f>
              <c:numCache>
                <c:formatCode>0%</c:formatCode>
                <c:ptCount val="4"/>
                <c:pt idx="0">
                  <c:v>0.83870967741935476</c:v>
                </c:pt>
                <c:pt idx="1">
                  <c:v>3.2258064516129031E-2</c:v>
                </c:pt>
                <c:pt idx="2">
                  <c:v>0</c:v>
                </c:pt>
                <c:pt idx="3">
                  <c:v>0.12903225806451613</c:v>
                </c:pt>
              </c:numCache>
            </c:numRef>
          </c:val>
          <c:extLst>
            <c:ext xmlns:c16="http://schemas.microsoft.com/office/drawing/2014/chart" uri="{C3380CC4-5D6E-409C-BE32-E72D297353CC}">
              <c16:uniqueId val="{00000001-A7D4-4962-9A8D-840CCFC6F7C3}"/>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07 - Os conhecimentos adquiridos durante o curso (mestrado/doutorado) foram importantes para a sua formação profissional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DIS-EGRES'!$T$115:$T$118</c:f>
              <c:strCache>
                <c:ptCount val="4"/>
                <c:pt idx="0">
                  <c:v>MUITO BOM / ÓTIMO</c:v>
                </c:pt>
                <c:pt idx="1">
                  <c:v>BOM</c:v>
                </c:pt>
                <c:pt idx="2">
                  <c:v>RUIM / REGULAR</c:v>
                </c:pt>
                <c:pt idx="3">
                  <c:v>NÃO SE APLICA / NÃO SEI</c:v>
                </c:pt>
              </c:strCache>
            </c:strRef>
          </c:cat>
          <c:val>
            <c:numRef>
              <c:f>'Dashboard-2-AVALIAÇÃO DIS-EGRES'!$U$115:$U$118</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423C-40BC-BE28-5A9033E73B4F}"/>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400"/>
              <a:t>QUESTÃO 8 -</a:t>
            </a:r>
            <a:r>
              <a:rPr lang="pt-BR" sz="1400" baseline="0"/>
              <a:t> O curso colaborou para seu desenvolvimento pessoal ?</a:t>
            </a:r>
            <a:endParaRPr lang="pt-BR" sz="14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DIS-EGRES'!$D$134:$D$137</c:f>
              <c:strCache>
                <c:ptCount val="4"/>
                <c:pt idx="0">
                  <c:v>MUITO BOM / ÓTIMO</c:v>
                </c:pt>
                <c:pt idx="1">
                  <c:v>BOM</c:v>
                </c:pt>
                <c:pt idx="2">
                  <c:v>RUIM / REGULAR</c:v>
                </c:pt>
                <c:pt idx="3">
                  <c:v>NÃO SE APLICA / NÃO SEI</c:v>
                </c:pt>
              </c:strCache>
            </c:strRef>
          </c:cat>
          <c:val>
            <c:numRef>
              <c:f>'Dashboard-2-AVALIAÇÃO DIS-EGRES'!$F$134:$F$137</c:f>
              <c:numCache>
                <c:formatCode>0%</c:formatCode>
                <c:ptCount val="4"/>
                <c:pt idx="0">
                  <c:v>0.91428571428571426</c:v>
                </c:pt>
                <c:pt idx="1">
                  <c:v>0</c:v>
                </c:pt>
                <c:pt idx="2">
                  <c:v>0</c:v>
                </c:pt>
                <c:pt idx="3">
                  <c:v>8.5714285714285715E-2</c:v>
                </c:pt>
              </c:numCache>
            </c:numRef>
          </c:val>
          <c:extLst>
            <c:ext xmlns:c16="http://schemas.microsoft.com/office/drawing/2014/chart" uri="{C3380CC4-5D6E-409C-BE32-E72D297353CC}">
              <c16:uniqueId val="{00000000-16AE-4817-BDB5-EF6ED63F4521}"/>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DIS-EGRES'!$D$134:$D$137</c:f>
              <c:strCache>
                <c:ptCount val="4"/>
                <c:pt idx="0">
                  <c:v>MUITO BOM / ÓTIMO</c:v>
                </c:pt>
                <c:pt idx="1">
                  <c:v>BOM</c:v>
                </c:pt>
                <c:pt idx="2">
                  <c:v>RUIM / REGULAR</c:v>
                </c:pt>
                <c:pt idx="3">
                  <c:v>NÃO SE APLICA / NÃO SEI</c:v>
                </c:pt>
              </c:strCache>
            </c:strRef>
          </c:cat>
          <c:val>
            <c:numRef>
              <c:f>'Dashboard-2-AVALIAÇÃO DIS-EGRES'!$E$134:$E$137</c:f>
              <c:numCache>
                <c:formatCode>0%</c:formatCode>
                <c:ptCount val="4"/>
                <c:pt idx="0">
                  <c:v>0.83870967741935476</c:v>
                </c:pt>
                <c:pt idx="1">
                  <c:v>3.2258064516129031E-2</c:v>
                </c:pt>
                <c:pt idx="2">
                  <c:v>0</c:v>
                </c:pt>
                <c:pt idx="3">
                  <c:v>0.12903225806451613</c:v>
                </c:pt>
              </c:numCache>
            </c:numRef>
          </c:val>
          <c:extLst>
            <c:ext xmlns:c16="http://schemas.microsoft.com/office/drawing/2014/chart" uri="{C3380CC4-5D6E-409C-BE32-E72D297353CC}">
              <c16:uniqueId val="{00000001-16AE-4817-BDB5-EF6ED63F4521}"/>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09</a:t>
            </a:r>
            <a:r>
              <a:rPr lang="pt-BR" baseline="0"/>
              <a:t> - O PGMAT tem contribuído para a inclusão social ?</a:t>
            </a:r>
            <a:endParaRPr lang="pt-B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INST.'!$T$92:$T$95</c:f>
              <c:strCache>
                <c:ptCount val="4"/>
                <c:pt idx="0">
                  <c:v>MUITO BOM / ÓTIMO</c:v>
                </c:pt>
                <c:pt idx="1">
                  <c:v>BOM</c:v>
                </c:pt>
                <c:pt idx="2">
                  <c:v>RUIM / REGULAR</c:v>
                </c:pt>
                <c:pt idx="3">
                  <c:v>NÃO SE APLICA / NÃO SEI</c:v>
                </c:pt>
              </c:strCache>
            </c:strRef>
          </c:cat>
          <c:val>
            <c:numRef>
              <c:f>'Dashboard-1-AVALIAÇÃO INST.'!$U$92:$U$95</c:f>
              <c:numCache>
                <c:formatCode>0%</c:formatCode>
                <c:ptCount val="4"/>
                <c:pt idx="0">
                  <c:v>0.59223300970873782</c:v>
                </c:pt>
                <c:pt idx="1">
                  <c:v>0.13592233009708737</c:v>
                </c:pt>
                <c:pt idx="2">
                  <c:v>8.7378640776699018E-2</c:v>
                </c:pt>
                <c:pt idx="3">
                  <c:v>0.18446601941747573</c:v>
                </c:pt>
              </c:numCache>
            </c:numRef>
          </c:val>
          <c:extLst>
            <c:ext xmlns:c16="http://schemas.microsoft.com/office/drawing/2014/chart" uri="{C3380CC4-5D6E-409C-BE32-E72D297353CC}">
              <c16:uniqueId val="{00000000-8B70-4A08-9997-0D451DBC542F}"/>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08</a:t>
            </a:r>
            <a:r>
              <a:rPr lang="pt-BR" baseline="0"/>
              <a:t> - O curso colaborou para seu desenvolvimento pessoal ?</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DIS-EGRES'!$T$133:$T$136</c:f>
              <c:strCache>
                <c:ptCount val="4"/>
                <c:pt idx="0">
                  <c:v>MUITO BOM / ÓTIMO</c:v>
                </c:pt>
                <c:pt idx="1">
                  <c:v>BOM</c:v>
                </c:pt>
                <c:pt idx="2">
                  <c:v>RUIM / REGULAR</c:v>
                </c:pt>
                <c:pt idx="3">
                  <c:v>NÃO SE APLICA / NÃO SEI</c:v>
                </c:pt>
              </c:strCache>
            </c:strRef>
          </c:cat>
          <c:val>
            <c:numRef>
              <c:f>'Dashboard-2-AVALIAÇÃO DIS-EGRES'!$U$133:$U$136</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5ED3-41C1-AFE2-89FAFDCE07E5}"/>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400"/>
              <a:t>QUESTÃO 9 -</a:t>
            </a:r>
            <a:r>
              <a:rPr lang="pt-BR" sz="1400" baseline="0"/>
              <a:t>  Sua atuação profissional é na área de Ciência e Engenharia de Materiais ?</a:t>
            </a:r>
            <a:endParaRPr lang="pt-BR" sz="14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DIS-EGRES'!$D$153:$D$156</c:f>
              <c:strCache>
                <c:ptCount val="4"/>
                <c:pt idx="0">
                  <c:v>MUITO BOM / ÓTIMO</c:v>
                </c:pt>
                <c:pt idx="1">
                  <c:v>BOM</c:v>
                </c:pt>
                <c:pt idx="2">
                  <c:v>RUIM / REGULAR</c:v>
                </c:pt>
                <c:pt idx="3">
                  <c:v>NÃO SE APLICA / NÃO SEI</c:v>
                </c:pt>
              </c:strCache>
            </c:strRef>
          </c:cat>
          <c:val>
            <c:numRef>
              <c:f>'Dashboard-2-AVALIAÇÃO DIS-EGRES'!$F$153:$F$156</c:f>
              <c:numCache>
                <c:formatCode>0%</c:formatCode>
                <c:ptCount val="4"/>
                <c:pt idx="0">
                  <c:v>0.65714285714285714</c:v>
                </c:pt>
                <c:pt idx="1">
                  <c:v>5.7142857142857141E-2</c:v>
                </c:pt>
                <c:pt idx="2">
                  <c:v>0.14285714285714285</c:v>
                </c:pt>
                <c:pt idx="3">
                  <c:v>0.14285714285714285</c:v>
                </c:pt>
              </c:numCache>
            </c:numRef>
          </c:val>
          <c:extLst>
            <c:ext xmlns:c16="http://schemas.microsoft.com/office/drawing/2014/chart" uri="{C3380CC4-5D6E-409C-BE32-E72D297353CC}">
              <c16:uniqueId val="{00000000-A69F-4A4F-B0F7-99B693E4D104}"/>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DIS-EGRES'!$D$153:$D$156</c:f>
              <c:strCache>
                <c:ptCount val="4"/>
                <c:pt idx="0">
                  <c:v>MUITO BOM / ÓTIMO</c:v>
                </c:pt>
                <c:pt idx="1">
                  <c:v>BOM</c:v>
                </c:pt>
                <c:pt idx="2">
                  <c:v>RUIM / REGULAR</c:v>
                </c:pt>
                <c:pt idx="3">
                  <c:v>NÃO SE APLICA / NÃO SEI</c:v>
                </c:pt>
              </c:strCache>
            </c:strRef>
          </c:cat>
          <c:val>
            <c:numRef>
              <c:f>'Dashboard-2-AVALIAÇÃO DIS-EGRES'!$E$153:$E$156</c:f>
              <c:numCache>
                <c:formatCode>0%</c:formatCode>
                <c:ptCount val="4"/>
                <c:pt idx="0">
                  <c:v>0.70967741935483875</c:v>
                </c:pt>
                <c:pt idx="1">
                  <c:v>9.6774193548387094E-2</c:v>
                </c:pt>
                <c:pt idx="2">
                  <c:v>6.4516129032258063E-2</c:v>
                </c:pt>
                <c:pt idx="3">
                  <c:v>0.12903225806451613</c:v>
                </c:pt>
              </c:numCache>
            </c:numRef>
          </c:val>
          <c:extLst>
            <c:ext xmlns:c16="http://schemas.microsoft.com/office/drawing/2014/chart" uri="{C3380CC4-5D6E-409C-BE32-E72D297353CC}">
              <c16:uniqueId val="{00000001-A69F-4A4F-B0F7-99B693E4D104}"/>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09</a:t>
            </a:r>
            <a:r>
              <a:rPr lang="pt-BR" baseline="0"/>
              <a:t> -  Sua atuação profissional é na área de Ciência e Engenharia de Materiais ?</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DIS-EGRES'!$T$152:$T$155</c:f>
              <c:strCache>
                <c:ptCount val="4"/>
                <c:pt idx="0">
                  <c:v>MUITO BOM / ÓTIMO</c:v>
                </c:pt>
                <c:pt idx="1">
                  <c:v>BOM</c:v>
                </c:pt>
                <c:pt idx="2">
                  <c:v>RUIM / REGULAR</c:v>
                </c:pt>
                <c:pt idx="3">
                  <c:v>NÃO SE APLICA / NÃO SEI</c:v>
                </c:pt>
              </c:strCache>
            </c:strRef>
          </c:cat>
          <c:val>
            <c:numRef>
              <c:f>'Dashboard-2-AVALIAÇÃO DIS-EGRES'!$U$152:$U$155</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ACF9-4884-9A47-6341DC038172}"/>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400"/>
              <a:t>QUESTÃO 10 -</a:t>
            </a:r>
            <a:r>
              <a:rPr lang="pt-BR" sz="1400" baseline="0"/>
              <a:t>   Você se considera satisfeito com sua área de atuação profissional atual ?</a:t>
            </a:r>
            <a:endParaRPr lang="pt-BR" sz="14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DIS-EGRES'!$D$174:$D$177</c:f>
              <c:strCache>
                <c:ptCount val="4"/>
                <c:pt idx="0">
                  <c:v>MUITO BOM / ÓTIMO</c:v>
                </c:pt>
                <c:pt idx="1">
                  <c:v>BOM</c:v>
                </c:pt>
                <c:pt idx="2">
                  <c:v>RUIM / REGULAR</c:v>
                </c:pt>
                <c:pt idx="3">
                  <c:v>NÃO SE APLICA / NÃO SEI</c:v>
                </c:pt>
              </c:strCache>
            </c:strRef>
          </c:cat>
          <c:val>
            <c:numRef>
              <c:f>'Dashboard-2-AVALIAÇÃO DIS-EGRES'!$F$174:$F$177</c:f>
              <c:numCache>
                <c:formatCode>0%</c:formatCode>
                <c:ptCount val="4"/>
                <c:pt idx="0">
                  <c:v>0.77142857142857146</c:v>
                </c:pt>
                <c:pt idx="1">
                  <c:v>2.8571428571428571E-2</c:v>
                </c:pt>
                <c:pt idx="2">
                  <c:v>5.7142857142857141E-2</c:v>
                </c:pt>
                <c:pt idx="3">
                  <c:v>0.14285714285714285</c:v>
                </c:pt>
              </c:numCache>
            </c:numRef>
          </c:val>
          <c:extLst>
            <c:ext xmlns:c16="http://schemas.microsoft.com/office/drawing/2014/chart" uri="{C3380CC4-5D6E-409C-BE32-E72D297353CC}">
              <c16:uniqueId val="{00000000-8A5E-47E6-BD1E-138ED9064CFD}"/>
            </c:ext>
          </c:extLst>
        </c:ser>
        <c:ser>
          <c:idx val="0"/>
          <c:order val="1"/>
          <c:tx>
            <c:v>2020,2</c:v>
          </c:tx>
          <c:spPr>
            <a:solidFill>
              <a:schemeClr val="accent1"/>
            </a:solidFill>
            <a:ln>
              <a:noFill/>
            </a:ln>
            <a:effectLs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'Dashboard-2-AVALIAÇÃO DIS-EGRES'!$D$174:$D$177</c:f>
              <c:strCache>
                <c:ptCount val="4"/>
                <c:pt idx="0">
                  <c:v>MUITO BOM / ÓTIMO</c:v>
                </c:pt>
                <c:pt idx="1">
                  <c:v>BOM</c:v>
                </c:pt>
                <c:pt idx="2">
                  <c:v>RUIM / REGULAR</c:v>
                </c:pt>
                <c:pt idx="3">
                  <c:v>NÃO SE APLICA / NÃO SEI</c:v>
                </c:pt>
              </c:strCache>
            </c:strRef>
          </c:cat>
          <c:val>
            <c:numRef>
              <c:f>'Dashboard-2-AVALIAÇÃO DIS-EGRES'!$E$174:$E$177</c:f>
              <c:numCache>
                <c:formatCode>0%</c:formatCode>
                <c:ptCount val="4"/>
                <c:pt idx="0">
                  <c:v>0.64516129032258063</c:v>
                </c:pt>
                <c:pt idx="1">
                  <c:v>9.6774193548387094E-2</c:v>
                </c:pt>
                <c:pt idx="2">
                  <c:v>0.12903225806451613</c:v>
                </c:pt>
                <c:pt idx="3">
                  <c:v>0.12903225806451613</c:v>
                </c:pt>
              </c:numCache>
            </c:numRef>
          </c:val>
          <c:extLst>
            <c:ext xmlns:c16="http://schemas.microsoft.com/office/drawing/2014/chart" uri="{C3380CC4-5D6E-409C-BE32-E72D297353CC}">
              <c16:uniqueId val="{00000001-8A5E-47E6-BD1E-138ED9064CFD}"/>
            </c:ext>
          </c:extLst>
        </c:ser>
        <c:dLbls>
          <c:showLegendKey val="0"/>
          <c:showVal val="1"/>
          <c:showCatName val="0"/>
          <c:showSerName val="0"/>
          <c:showPercent val="0"/>
          <c:showBubbleSize val="0"/>
        </c:dLbls>
        <c:gapWidth val="150"/>
        <c:shape val="box"/>
        <c:axId val="768801376"/>
        <c:axId val="768802624"/>
        <c:axId val="0"/>
      </c:bar3DChart>
      <c:catAx>
        <c:axId val="768801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2624"/>
        <c:crosses val="autoZero"/>
        <c:auto val="1"/>
        <c:lblAlgn val="ctr"/>
        <c:lblOffset val="100"/>
        <c:noMultiLvlLbl val="0"/>
      </c:catAx>
      <c:valAx>
        <c:axId val="768802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8801376"/>
        <c:crosses val="autoZero"/>
        <c:crossBetween val="between"/>
      </c:valAx>
      <c:dTable>
        <c:showHorzBorder val="1"/>
        <c:showVertBorder val="1"/>
        <c:showOutline val="1"/>
        <c:showKeys val="1"/>
      </c:dTable>
    </c:plotArea>
    <c:legend>
      <c:legendPos val="r"/>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aseline="0"/>
              <a:t>10 -   Você se considera satisfeito com sua área de atuação profissional atual ?</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'Dashboard-2-AVALIAÇÃO DIS-EGRES'!$T$173:$T$176</c:f>
              <c:strCache>
                <c:ptCount val="4"/>
                <c:pt idx="0">
                  <c:v>MUITO BOM / ÓTIMO</c:v>
                </c:pt>
                <c:pt idx="1">
                  <c:v>BOM</c:v>
                </c:pt>
                <c:pt idx="2">
                  <c:v>RUIM / REGULAR</c:v>
                </c:pt>
                <c:pt idx="3">
                  <c:v>NÃO SE APLICA / NÃO SEI</c:v>
                </c:pt>
              </c:strCache>
            </c:strRef>
          </c:cat>
          <c:val>
            <c:numRef>
              <c:f>'Dashboard-2-AVALIAÇÃO DIS-EGRES'!$U$173:$U$176</c:f>
              <c:numCache>
                <c:formatCode>0%</c:formatCode>
                <c:ptCount val="4"/>
                <c:pt idx="0">
                  <c:v>0.80303030303030309</c:v>
                </c:pt>
                <c:pt idx="1">
                  <c:v>0.10606060606060606</c:v>
                </c:pt>
                <c:pt idx="2">
                  <c:v>7.575757575757576E-2</c:v>
                </c:pt>
                <c:pt idx="3">
                  <c:v>1.5151515151515152E-2</c:v>
                </c:pt>
              </c:numCache>
            </c:numRef>
          </c:val>
          <c:extLst>
            <c:ext xmlns:c16="http://schemas.microsoft.com/office/drawing/2014/chart" uri="{C3380CC4-5D6E-409C-BE32-E72D297353CC}">
              <c16:uniqueId val="{00000000-3C9F-4B99-90DC-B0919046BDCF}"/>
            </c:ext>
          </c:extLst>
        </c:ser>
        <c:dLbls>
          <c:showLegendKey val="0"/>
          <c:showVal val="1"/>
          <c:showCatName val="0"/>
          <c:showSerName val="0"/>
          <c:showPercent val="0"/>
          <c:showBubbleSize val="0"/>
        </c:dLbls>
        <c:gapWidth val="150"/>
        <c:shape val="box"/>
        <c:axId val="697434640"/>
        <c:axId val="697447120"/>
        <c:axId val="0"/>
      </c:bar3DChart>
      <c:catAx>
        <c:axId val="697434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47120"/>
        <c:crosses val="autoZero"/>
        <c:auto val="1"/>
        <c:lblAlgn val="ctr"/>
        <c:lblOffset val="100"/>
        <c:noMultiLvlLbl val="0"/>
      </c:catAx>
      <c:valAx>
        <c:axId val="69744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7434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pt-BR" sz="1600" b="1"/>
              <a:t>QUESTÃO - Qual a sua atuação no PGMAT ?</a:t>
            </a:r>
          </a:p>
        </c:rich>
      </c:tx>
      <c:layout>
        <c:manualLayout>
          <c:xMode val="edge"/>
          <c:yMode val="edge"/>
          <c:x val="8.5157128616122749E-2"/>
          <c:y val="2.204723862676207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BE3-1341-8BA9-5ADDA025F4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BE3-1341-8BA9-5ADDA025F4D1}"/>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E3-1341-8BA9-5ADDA025F4D1}"/>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E3-1341-8BA9-5ADDA025F4D1}"/>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s>
          <c:cat>
            <c:strRef>
              <c:f>'Dashboard-2-AVALIAÇÃO DIS-EGRES'!$A$59:$A$60</c:f>
              <c:strCache>
                <c:ptCount val="2"/>
                <c:pt idx="0">
                  <c:v>DISCENTE</c:v>
                </c:pt>
                <c:pt idx="1">
                  <c:v>EGRESSO</c:v>
                </c:pt>
              </c:strCache>
            </c:strRef>
          </c:cat>
          <c:val>
            <c:numRef>
              <c:f>'Dashboard-2-AVALIAÇÃO DIS-EGRES'!$A$62:$A$63</c:f>
              <c:numCache>
                <c:formatCode>0%</c:formatCode>
                <c:ptCount val="2"/>
                <c:pt idx="0">
                  <c:v>0.36363636363636365</c:v>
                </c:pt>
                <c:pt idx="1">
                  <c:v>0.63636363636363635</c:v>
                </c:pt>
              </c:numCache>
            </c:numRef>
          </c:val>
          <c:extLst>
            <c:ext xmlns:c16="http://schemas.microsoft.com/office/drawing/2014/chart" uri="{C3380CC4-5D6E-409C-BE32-E72D297353CC}">
              <c16:uniqueId val="{00000000-D49A-194B-B4D2-A5F0FE3DDEF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pt-BR"/>
              <a:t>AUTOAVALIAÇÃO DISCENTE / EGRESSO</a:t>
            </a:r>
          </a:p>
        </c:rich>
      </c:tx>
      <c:layout>
        <c:manualLayout>
          <c:xMode val="edge"/>
          <c:yMode val="edge"/>
          <c:x val="0.22834223314781976"/>
          <c:y val="6.596867136241942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1.0255363510743205E-3"/>
          <c:y val="0.22230042093248614"/>
          <c:w val="0.99234449991500584"/>
          <c:h val="0.7438495791474341"/>
        </c:manualLayout>
      </c:layout>
      <c:barChart>
        <c:barDir val="col"/>
        <c:grouping val="stacked"/>
        <c:varyColors val="0"/>
        <c:ser>
          <c:idx val="0"/>
          <c:order val="0"/>
          <c:tx>
            <c:v>2020,2</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'Dashboard-2-AVALIAÇÃO DIS-EGRES'!$A$30:$B$30</c:f>
              <c:numCache>
                <c:formatCode>General</c:formatCode>
                <c:ptCount val="2"/>
                <c:pt idx="0" formatCode="0%">
                  <c:v>0.46969696969696972</c:v>
                </c:pt>
              </c:numCache>
            </c:numRef>
          </c:val>
          <c:extLst>
            <c:ext xmlns:c16="http://schemas.microsoft.com/office/drawing/2014/chart" uri="{C3380CC4-5D6E-409C-BE32-E72D297353CC}">
              <c16:uniqueId val="{00000000-F614-48D3-9801-F529E1087FAC}"/>
            </c:ext>
          </c:extLst>
        </c:ser>
        <c:ser>
          <c:idx val="1"/>
          <c:order val="1"/>
          <c:tx>
            <c:v>2020,3</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lt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'Dashboard-2-AVALIAÇÃO DIS-EGRES'!$A$33:$B$33</c:f>
              <c:numCache>
                <c:formatCode>General</c:formatCode>
                <c:ptCount val="2"/>
                <c:pt idx="0" formatCode="0%">
                  <c:v>0.53030303030303028</c:v>
                </c:pt>
              </c:numCache>
            </c:numRef>
          </c:val>
          <c:extLst>
            <c:ext xmlns:c16="http://schemas.microsoft.com/office/drawing/2014/chart" uri="{C3380CC4-5D6E-409C-BE32-E72D297353CC}">
              <c16:uniqueId val="{00000001-F614-48D3-9801-F529E1087FAC}"/>
            </c:ext>
          </c:extLst>
        </c:ser>
        <c:dLbls>
          <c:dLblPos val="ctr"/>
          <c:showLegendKey val="0"/>
          <c:showVal val="1"/>
          <c:showCatName val="0"/>
          <c:showSerName val="0"/>
          <c:showPercent val="0"/>
          <c:showBubbleSize val="0"/>
        </c:dLbls>
        <c:gapWidth val="79"/>
        <c:overlap val="100"/>
        <c:axId val="1599657151"/>
        <c:axId val="1599672127"/>
      </c:barChart>
      <c:catAx>
        <c:axId val="1599657151"/>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99672127"/>
        <c:crosses val="autoZero"/>
        <c:auto val="1"/>
        <c:lblAlgn val="ctr"/>
        <c:lblOffset val="100"/>
        <c:noMultiLvlLbl val="0"/>
      </c:catAx>
      <c:valAx>
        <c:axId val="1599672127"/>
        <c:scaling>
          <c:orientation val="minMax"/>
        </c:scaling>
        <c:delete val="1"/>
        <c:axPos val="l"/>
        <c:numFmt formatCode="0%" sourceLinked="1"/>
        <c:majorTickMark val="none"/>
        <c:minorTickMark val="none"/>
        <c:tickLblPos val="nextTo"/>
        <c:crossAx val="1599657151"/>
        <c:crosses val="autoZero"/>
        <c:crossBetween val="between"/>
      </c:valAx>
      <c:spPr>
        <a:noFill/>
        <a:ln>
          <a:noFill/>
        </a:ln>
        <a:effectLst/>
      </c:spPr>
    </c:plotArea>
    <c:legend>
      <c:legendPos val="t"/>
      <c:layout>
        <c:manualLayout>
          <c:xMode val="edge"/>
          <c:yMode val="edge"/>
          <c:x val="0.46868316329806642"/>
          <c:y val="0.62908532404907191"/>
          <c:w val="0.50336949816756771"/>
          <c:h val="6.610346846843573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DISC.'!$C$17:$C$20</c:f>
              <c:strCache>
                <c:ptCount val="4"/>
                <c:pt idx="0">
                  <c:v>MUITO BOM / ÓTIMO</c:v>
                </c:pt>
                <c:pt idx="1">
                  <c:v>BOM</c:v>
                </c:pt>
                <c:pt idx="2">
                  <c:v>RUIM / REGULAR</c:v>
                </c:pt>
                <c:pt idx="3">
                  <c:v>NÃO SE APLICA / NÃO SEI</c:v>
                </c:pt>
              </c:strCache>
            </c:strRef>
          </c:cat>
          <c:val>
            <c:numRef>
              <c:f>'Dashboard-3-AVALIAÇÃO DISC.'!$D$17:$D$20</c:f>
              <c:numCache>
                <c:formatCode>0%</c:formatCode>
                <c:ptCount val="4"/>
                <c:pt idx="0">
                  <c:v>0.91379310344827591</c:v>
                </c:pt>
                <c:pt idx="1">
                  <c:v>6.8965517241379309E-2</c:v>
                </c:pt>
                <c:pt idx="2">
                  <c:v>0</c:v>
                </c:pt>
                <c:pt idx="3">
                  <c:v>1.7241379310344827E-2</c:v>
                </c:pt>
              </c:numCache>
            </c:numRef>
          </c:val>
          <c:extLst>
            <c:ext xmlns:c16="http://schemas.microsoft.com/office/drawing/2014/chart" uri="{C3380CC4-5D6E-409C-BE32-E72D297353CC}">
              <c16:uniqueId val="{00000000-36CD-41B8-B13F-A91F59042824}"/>
            </c:ext>
          </c:extLst>
        </c:ser>
        <c:dLbls>
          <c:dLblPos val="out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[4]</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'D4'!$B$28:$B$31</c:f>
              <c:strCache>
                <c:ptCount val="4"/>
                <c:pt idx="0">
                  <c:v>MUITO BOM / ÓTIMO</c:v>
                </c:pt>
                <c:pt idx="1">
                  <c:v>BOM</c:v>
                </c:pt>
                <c:pt idx="2">
                  <c:v>RUIM / REGULAR</c:v>
                </c:pt>
                <c:pt idx="3">
                  <c:v>NÃO SE APLICA / NÃO SEI</c:v>
                </c:pt>
              </c:strCache>
            </c:strRef>
          </c:cat>
          <c:val>
            <c:numRef>
              <c:f>'D4'!$C$28:$C$31</c:f>
              <c:numCache>
                <c:formatCode>0%</c:formatCode>
                <c:ptCount val="4"/>
                <c:pt idx="0">
                  <c:v>0.75</c:v>
                </c:pt>
                <c:pt idx="1">
                  <c:v>0.25</c:v>
                </c:pt>
                <c:pt idx="2">
                  <c:v>0</c:v>
                </c:pt>
                <c:pt idx="3">
                  <c:v>0</c:v>
                </c:pt>
              </c:numCache>
            </c:numRef>
          </c:val>
          <c:extLst>
            <c:ext xmlns:c16="http://schemas.microsoft.com/office/drawing/2014/chart" uri="{C3380CC4-5D6E-409C-BE32-E72D297353CC}">
              <c16:uniqueId val="{00000000-BEF6-4517-8CED-9C7840881D72}"/>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2</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DISC.'!$C$34:$C$37</c:f>
              <c:strCache>
                <c:ptCount val="4"/>
                <c:pt idx="0">
                  <c:v>MUITO BOM / ÓTIMO</c:v>
                </c:pt>
                <c:pt idx="1">
                  <c:v>BOM</c:v>
                </c:pt>
                <c:pt idx="2">
                  <c:v>RUIM / REGULAR</c:v>
                </c:pt>
                <c:pt idx="3">
                  <c:v>NÃO SE APLICA / NÃO SEI</c:v>
                </c:pt>
              </c:strCache>
            </c:strRef>
          </c:cat>
          <c:val>
            <c:numRef>
              <c:f>'Dashboard-3-AVALIAÇÃO DISC.'!$D$34:$D$37</c:f>
              <c:numCache>
                <c:formatCode>0%</c:formatCode>
                <c:ptCount val="4"/>
                <c:pt idx="0">
                  <c:v>0.84482758620689657</c:v>
                </c:pt>
                <c:pt idx="1">
                  <c:v>8.6206896551724144E-2</c:v>
                </c:pt>
                <c:pt idx="2">
                  <c:v>1.7241379310344827E-2</c:v>
                </c:pt>
                <c:pt idx="3">
                  <c:v>5.1724137931034482E-2</c:v>
                </c:pt>
              </c:numCache>
            </c:numRef>
          </c:val>
          <c:extLst>
            <c:ext xmlns:c16="http://schemas.microsoft.com/office/drawing/2014/chart" uri="{C3380CC4-5D6E-409C-BE32-E72D297353CC}">
              <c16:uniqueId val="{00000000-0827-4753-ADDC-17D346D11E0A}"/>
            </c:ext>
          </c:extLst>
        </c:ser>
        <c:dLbls>
          <c:dLblPos val="out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10</a:t>
            </a:r>
            <a:r>
              <a:rPr lang="pt-BR" baseline="0"/>
              <a:t> - O PGMAT tem contribuído para a preservação do meio ambiente ?</a:t>
            </a:r>
            <a:endParaRPr lang="pt-B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INST.'!$T$112:$T$115</c:f>
              <c:strCache>
                <c:ptCount val="4"/>
                <c:pt idx="0">
                  <c:v>MUITO BOM / ÓTIMO</c:v>
                </c:pt>
                <c:pt idx="1">
                  <c:v>BOM</c:v>
                </c:pt>
                <c:pt idx="2">
                  <c:v>RUIM / REGULAR</c:v>
                </c:pt>
                <c:pt idx="3">
                  <c:v>NÃO SE APLICA / NÃO SEI</c:v>
                </c:pt>
              </c:strCache>
            </c:strRef>
          </c:cat>
          <c:val>
            <c:numRef>
              <c:f>'Dashboard-1-AVALIAÇÃO INST.'!$U$112:$U$115</c:f>
              <c:numCache>
                <c:formatCode>0%</c:formatCode>
                <c:ptCount val="4"/>
                <c:pt idx="0">
                  <c:v>0.68932038834951448</c:v>
                </c:pt>
                <c:pt idx="1">
                  <c:v>0.10679611650485436</c:v>
                </c:pt>
                <c:pt idx="2">
                  <c:v>6.7961165048543687E-2</c:v>
                </c:pt>
                <c:pt idx="3">
                  <c:v>0.13592233009708737</c:v>
                </c:pt>
              </c:numCache>
            </c:numRef>
          </c:val>
          <c:extLst>
            <c:ext xmlns:c16="http://schemas.microsoft.com/office/drawing/2014/chart" uri="{C3380CC4-5D6E-409C-BE32-E72D297353CC}">
              <c16:uniqueId val="{00000000-02FF-428B-A152-9C9598527D9F}"/>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3</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61-4A95-A24F-F88C369E2B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DISC.'!$C$53:$C$56</c:f>
              <c:strCache>
                <c:ptCount val="4"/>
                <c:pt idx="0">
                  <c:v>MUITO BOM / ÓTIMO</c:v>
                </c:pt>
                <c:pt idx="1">
                  <c:v>BOM</c:v>
                </c:pt>
                <c:pt idx="2">
                  <c:v>RUIM / REGULAR</c:v>
                </c:pt>
                <c:pt idx="3">
                  <c:v>NÃO SE APLICA / NÃO SEI</c:v>
                </c:pt>
              </c:strCache>
            </c:strRef>
          </c:cat>
          <c:val>
            <c:numRef>
              <c:f>'Dashboard-3-AVALIAÇÃO DISC.'!$D$53:$D$56</c:f>
              <c:numCache>
                <c:formatCode>0%</c:formatCode>
                <c:ptCount val="4"/>
                <c:pt idx="0">
                  <c:v>0.74137931034482762</c:v>
                </c:pt>
                <c:pt idx="1">
                  <c:v>8.6206896551724144E-2</c:v>
                </c:pt>
                <c:pt idx="2">
                  <c:v>8.6206896551724144E-2</c:v>
                </c:pt>
                <c:pt idx="3">
                  <c:v>8.6206896551724144E-2</c:v>
                </c:pt>
              </c:numCache>
            </c:numRef>
          </c:val>
          <c:extLst>
            <c:ext xmlns:c16="http://schemas.microsoft.com/office/drawing/2014/chart" uri="{C3380CC4-5D6E-409C-BE32-E72D297353CC}">
              <c16:uniqueId val="{00000000-4B61-4A95-A24F-F88C369E2B01}"/>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[8]</a:t>
            </a:r>
            <a:endParaRPr lang="pt-BR" sz="1600">
              <a:effectLst/>
            </a:endParaRPr>
          </a:p>
        </c:rich>
      </c:tx>
      <c:layout>
        <c:manualLayout>
          <c:xMode val="edge"/>
          <c:yMode val="edge"/>
          <c:x val="0.78045318900091931"/>
          <c:y val="1.99376907915341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'D8'!$B$28:$B$31</c:f>
              <c:strCache>
                <c:ptCount val="4"/>
                <c:pt idx="0">
                  <c:v>MUITO BOM / ÓTIMO</c:v>
                </c:pt>
                <c:pt idx="1">
                  <c:v>BOM</c:v>
                </c:pt>
                <c:pt idx="2">
                  <c:v>RUIM / REGULAR</c:v>
                </c:pt>
                <c:pt idx="3">
                  <c:v>NÃO SE APLICA / NÃO SEI</c:v>
                </c:pt>
              </c:strCache>
            </c:strRef>
          </c:cat>
          <c:val>
            <c:numRef>
              <c:f>'D8'!$C$28:$C$31</c:f>
              <c:numCache>
                <c:formatCode>0%</c:formatCode>
                <c:ptCount val="4"/>
                <c:pt idx="0">
                  <c:v>1</c:v>
                </c:pt>
                <c:pt idx="1">
                  <c:v>0</c:v>
                </c:pt>
                <c:pt idx="2">
                  <c:v>0</c:v>
                </c:pt>
                <c:pt idx="3">
                  <c:v>0</c:v>
                </c:pt>
              </c:numCache>
            </c:numRef>
          </c:val>
          <c:extLst>
            <c:ext xmlns:c16="http://schemas.microsoft.com/office/drawing/2014/chart" uri="{C3380CC4-5D6E-409C-BE32-E72D297353CC}">
              <c16:uniqueId val="{00000000-B1E9-4171-8CB7-C2DC281FC099}"/>
            </c:ext>
          </c:extLst>
        </c:ser>
        <c:dLbls>
          <c:showLegendKey val="0"/>
          <c:showVal val="0"/>
          <c:showCatName val="0"/>
          <c:showSerName val="0"/>
          <c:showPercent val="0"/>
          <c:showBubbleSize val="0"/>
        </c:dLbls>
        <c:gapWidth val="150"/>
        <c:shape val="box"/>
        <c:axId val="1158372992"/>
        <c:axId val="1158375488"/>
        <c:axId val="0"/>
      </c:bar3DChart>
      <c:catAx>
        <c:axId val="1158372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5488"/>
        <c:crosses val="autoZero"/>
        <c:auto val="1"/>
        <c:lblAlgn val="ctr"/>
        <c:lblOffset val="100"/>
        <c:noMultiLvlLbl val="0"/>
      </c:catAx>
      <c:valAx>
        <c:axId val="115837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837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[9]</a:t>
            </a:r>
            <a:endParaRPr lang="pt-BR" sz="1600">
              <a:effectLst/>
            </a:endParaRPr>
          </a:p>
        </c:rich>
      </c:tx>
      <c:layout>
        <c:manualLayout>
          <c:xMode val="edge"/>
          <c:yMode val="edge"/>
          <c:x val="0.77950630307748647"/>
          <c:y val="2.54314230663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'D9'!$B$28:$B$31</c:f>
              <c:strCache>
                <c:ptCount val="4"/>
                <c:pt idx="0">
                  <c:v>MUITO BOM / ÓTIMO</c:v>
                </c:pt>
                <c:pt idx="1">
                  <c:v>BOM</c:v>
                </c:pt>
                <c:pt idx="2">
                  <c:v>RUIM / REGULAR</c:v>
                </c:pt>
                <c:pt idx="3">
                  <c:v>NÃO SE APLICA / NÃO SEI</c:v>
                </c:pt>
              </c:strCache>
            </c:strRef>
          </c:cat>
          <c:val>
            <c:numRef>
              <c:f>'D9'!$C$28:$C$31</c:f>
              <c:numCache>
                <c:formatCode>0%</c:formatCode>
                <c:ptCount val="4"/>
                <c:pt idx="0">
                  <c:v>0.75</c:v>
                </c:pt>
                <c:pt idx="1">
                  <c:v>0.125</c:v>
                </c:pt>
                <c:pt idx="2">
                  <c:v>0</c:v>
                </c:pt>
                <c:pt idx="3">
                  <c:v>0.125</c:v>
                </c:pt>
              </c:numCache>
            </c:numRef>
          </c:val>
          <c:extLst>
            <c:ext xmlns:c16="http://schemas.microsoft.com/office/drawing/2014/chart" uri="{C3380CC4-5D6E-409C-BE32-E72D297353CC}">
              <c16:uniqueId val="{00000000-E559-43D8-90B8-C4207A7C85A5}"/>
            </c:ext>
          </c:extLst>
        </c:ser>
        <c:dLbls>
          <c:showLegendKey val="0"/>
          <c:showVal val="0"/>
          <c:showCatName val="0"/>
          <c:showSerName val="0"/>
          <c:showPercent val="0"/>
          <c:showBubbleSize val="0"/>
        </c:dLbls>
        <c:gapWidth val="150"/>
        <c:shape val="box"/>
        <c:axId val="1511890928"/>
        <c:axId val="1511888848"/>
        <c:axId val="0"/>
      </c:bar3DChart>
      <c:catAx>
        <c:axId val="151189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88848"/>
        <c:crosses val="autoZero"/>
        <c:auto val="1"/>
        <c:lblAlgn val="ctr"/>
        <c:lblOffset val="100"/>
        <c:noMultiLvlLbl val="0"/>
      </c:catAx>
      <c:valAx>
        <c:axId val="15118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1189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[10]</a:t>
            </a:r>
            <a:endParaRPr lang="pt-BR" sz="1600">
              <a:effectLst/>
            </a:endParaRPr>
          </a:p>
        </c:rich>
      </c:tx>
      <c:layout>
        <c:manualLayout>
          <c:xMode val="edge"/>
          <c:yMode val="edge"/>
          <c:x val="0.70331653675532202"/>
          <c:y val="2.09607015728365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'D10'!$B$28:$B$31</c:f>
              <c:strCache>
                <c:ptCount val="4"/>
                <c:pt idx="0">
                  <c:v>MUITO BOM / ÓTIMO</c:v>
                </c:pt>
                <c:pt idx="1">
                  <c:v>BOM</c:v>
                </c:pt>
                <c:pt idx="2">
                  <c:v>RUIM / REGULAR</c:v>
                </c:pt>
                <c:pt idx="3">
                  <c:v>NÃO SE APLICA / NÃO SEI</c:v>
                </c:pt>
              </c:strCache>
            </c:strRef>
          </c:cat>
          <c:val>
            <c:numRef>
              <c:f>'D10'!$C$28:$C$31</c:f>
              <c:numCache>
                <c:formatCode>0%</c:formatCode>
                <c:ptCount val="4"/>
                <c:pt idx="0">
                  <c:v>1</c:v>
                </c:pt>
                <c:pt idx="1">
                  <c:v>0</c:v>
                </c:pt>
                <c:pt idx="2">
                  <c:v>0</c:v>
                </c:pt>
                <c:pt idx="3">
                  <c:v>0</c:v>
                </c:pt>
              </c:numCache>
            </c:numRef>
          </c:val>
          <c:extLst>
            <c:ext xmlns:c16="http://schemas.microsoft.com/office/drawing/2014/chart" uri="{C3380CC4-5D6E-409C-BE32-E72D297353CC}">
              <c16:uniqueId val="{00000000-67BF-4946-A5CD-54B8405059A8}"/>
            </c:ext>
          </c:extLst>
        </c:ser>
        <c:dLbls>
          <c:showLegendKey val="0"/>
          <c:showVal val="0"/>
          <c:showCatName val="0"/>
          <c:showSerName val="0"/>
          <c:showPercent val="0"/>
          <c:showBubbleSize val="0"/>
        </c:dLbls>
        <c:gapWidth val="150"/>
        <c:shape val="box"/>
        <c:axId val="1603262576"/>
        <c:axId val="1603262992"/>
        <c:axId val="0"/>
      </c:bar3DChart>
      <c:catAx>
        <c:axId val="1603262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992"/>
        <c:crosses val="autoZero"/>
        <c:auto val="1"/>
        <c:lblAlgn val="ctr"/>
        <c:lblOffset val="100"/>
        <c:noMultiLvlLbl val="0"/>
      </c:catAx>
      <c:valAx>
        <c:axId val="160326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326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[12]</a:t>
            </a:r>
            <a:endParaRPr lang="pt-BR" sz="1600">
              <a:effectLst/>
            </a:endParaRPr>
          </a:p>
        </c:rich>
      </c:tx>
      <c:layout>
        <c:manualLayout>
          <c:xMode val="edge"/>
          <c:yMode val="edge"/>
          <c:x val="0.70786891023959742"/>
          <c:y val="1.488372529096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315989252761291"/>
          <c:y val="0.15036949942544134"/>
          <c:w val="0.70657940600845326"/>
          <c:h val="0.7327022074556524"/>
        </c:manualLayout>
      </c:layout>
      <c:bar3DChart>
        <c:barDir val="bar"/>
        <c:grouping val="clustered"/>
        <c:varyColors val="0"/>
        <c:ser>
          <c:idx val="0"/>
          <c:order val="0"/>
          <c:spPr>
            <a:solidFill>
              <a:schemeClr val="accent1"/>
            </a:solidFill>
            <a:ln>
              <a:noFill/>
            </a:ln>
            <a:effectLst/>
            <a:sp3d/>
          </c:spPr>
          <c:invertIfNegative val="0"/>
          <c:cat>
            <c:strRef>
              <c:f>'D12'!$B$28:$B$31</c:f>
              <c:strCache>
                <c:ptCount val="4"/>
                <c:pt idx="0">
                  <c:v>MUITO BOM / ÓTIMO</c:v>
                </c:pt>
                <c:pt idx="1">
                  <c:v>BOM</c:v>
                </c:pt>
                <c:pt idx="2">
                  <c:v>RUIM / REGULAR</c:v>
                </c:pt>
                <c:pt idx="3">
                  <c:v>NÃO SE APLICA / NÃO SEI</c:v>
                </c:pt>
              </c:strCache>
            </c:strRef>
          </c:cat>
          <c:val>
            <c:numRef>
              <c:f>'D12'!$C$28:$C$31</c:f>
              <c:numCache>
                <c:formatCode>0%</c:formatCode>
                <c:ptCount val="4"/>
                <c:pt idx="0">
                  <c:v>1</c:v>
                </c:pt>
                <c:pt idx="1">
                  <c:v>0</c:v>
                </c:pt>
                <c:pt idx="2">
                  <c:v>0</c:v>
                </c:pt>
                <c:pt idx="3">
                  <c:v>0</c:v>
                </c:pt>
              </c:numCache>
            </c:numRef>
          </c:val>
          <c:extLst>
            <c:ext xmlns:c16="http://schemas.microsoft.com/office/drawing/2014/chart" uri="{C3380CC4-5D6E-409C-BE32-E72D297353CC}">
              <c16:uniqueId val="{00000000-BC12-41B8-A07A-83FA1171EC4F}"/>
            </c:ext>
          </c:extLst>
        </c:ser>
        <c:dLbls>
          <c:showLegendKey val="0"/>
          <c:showVal val="0"/>
          <c:showCatName val="0"/>
          <c:showSerName val="0"/>
          <c:showPercent val="0"/>
          <c:showBubbleSize val="0"/>
        </c:dLbls>
        <c:gapWidth val="150"/>
        <c:shape val="box"/>
        <c:axId val="1183872592"/>
        <c:axId val="1183871760"/>
        <c:axId val="0"/>
      </c:bar3DChart>
      <c:catAx>
        <c:axId val="1183872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1760"/>
        <c:crosses val="autoZero"/>
        <c:auto val="1"/>
        <c:lblAlgn val="ctr"/>
        <c:lblOffset val="100"/>
        <c:noMultiLvlLbl val="0"/>
      </c:catAx>
      <c:valAx>
        <c:axId val="1183871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387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[13]</a:t>
            </a:r>
            <a:endParaRPr lang="pt-BR" sz="1600">
              <a:effectLst/>
            </a:endParaRPr>
          </a:p>
        </c:rich>
      </c:tx>
      <c:layout>
        <c:manualLayout>
          <c:xMode val="edge"/>
          <c:yMode val="edge"/>
          <c:x val="0.684000117076349"/>
          <c:y val="2.49221232707088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'D13'!$B$28:$B$31</c:f>
              <c:strCache>
                <c:ptCount val="4"/>
                <c:pt idx="0">
                  <c:v>MUITO BOM / ÓTIMO</c:v>
                </c:pt>
                <c:pt idx="1">
                  <c:v>BOM</c:v>
                </c:pt>
                <c:pt idx="2">
                  <c:v>RUIM / REGULAR</c:v>
                </c:pt>
                <c:pt idx="3">
                  <c:v>NÃO SE APLICA / NÃO SEI</c:v>
                </c:pt>
              </c:strCache>
            </c:strRef>
          </c:cat>
          <c:val>
            <c:numRef>
              <c:f>'D13'!$C$28:$C$31</c:f>
              <c:numCache>
                <c:formatCode>0%</c:formatCode>
                <c:ptCount val="4"/>
                <c:pt idx="0">
                  <c:v>1</c:v>
                </c:pt>
                <c:pt idx="1">
                  <c:v>0</c:v>
                </c:pt>
                <c:pt idx="2">
                  <c:v>0</c:v>
                </c:pt>
                <c:pt idx="3">
                  <c:v>0</c:v>
                </c:pt>
              </c:numCache>
            </c:numRef>
          </c:val>
          <c:extLst>
            <c:ext xmlns:c16="http://schemas.microsoft.com/office/drawing/2014/chart" uri="{C3380CC4-5D6E-409C-BE32-E72D297353CC}">
              <c16:uniqueId val="{00000000-EBCB-4A87-8C7E-6C9C584F947E}"/>
            </c:ext>
          </c:extLst>
        </c:ser>
        <c:dLbls>
          <c:showLegendKey val="0"/>
          <c:showVal val="0"/>
          <c:showCatName val="0"/>
          <c:showSerName val="0"/>
          <c:showPercent val="0"/>
          <c:showBubbleSize val="0"/>
        </c:dLbls>
        <c:gapWidth val="150"/>
        <c:shape val="box"/>
        <c:axId val="1362649200"/>
        <c:axId val="1362647536"/>
        <c:axId val="0"/>
      </c:bar3DChart>
      <c:catAx>
        <c:axId val="136264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7536"/>
        <c:crosses val="autoZero"/>
        <c:auto val="1"/>
        <c:lblAlgn val="ctr"/>
        <c:lblOffset val="100"/>
        <c:noMultiLvlLbl val="0"/>
      </c:catAx>
      <c:valAx>
        <c:axId val="136264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26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4</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A2-4A9A-98D7-600AD77126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DISC.'!$C$72:$C$75</c:f>
              <c:strCache>
                <c:ptCount val="4"/>
                <c:pt idx="0">
                  <c:v>MUITO BOM / ÓTIMO</c:v>
                </c:pt>
                <c:pt idx="1">
                  <c:v>BOM</c:v>
                </c:pt>
                <c:pt idx="2">
                  <c:v>RUIM / REGULAR</c:v>
                </c:pt>
                <c:pt idx="3">
                  <c:v>NÃO SE APLICA / NÃO SEI</c:v>
                </c:pt>
              </c:strCache>
            </c:strRef>
          </c:cat>
          <c:val>
            <c:numRef>
              <c:f>'Dashboard-3-AVALIAÇÃO DISC.'!$D$72:$D$75</c:f>
              <c:numCache>
                <c:formatCode>0%</c:formatCode>
                <c:ptCount val="4"/>
                <c:pt idx="0">
                  <c:v>0.87931034482758619</c:v>
                </c:pt>
                <c:pt idx="1">
                  <c:v>5.1724137931034482E-2</c:v>
                </c:pt>
                <c:pt idx="2">
                  <c:v>5.1724137931034482E-2</c:v>
                </c:pt>
                <c:pt idx="3">
                  <c:v>1.7241379310344827E-2</c:v>
                </c:pt>
              </c:numCache>
            </c:numRef>
          </c:val>
          <c:extLst>
            <c:ext xmlns:c16="http://schemas.microsoft.com/office/drawing/2014/chart" uri="{C3380CC4-5D6E-409C-BE32-E72D297353CC}">
              <c16:uniqueId val="{00000001-28A2-4A9A-98D7-600AD771265A}"/>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5</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AE-4256-A19D-A1A7609F4F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DISC.'!$C$91:$C$94</c:f>
              <c:strCache>
                <c:ptCount val="4"/>
                <c:pt idx="0">
                  <c:v>MUITO BOM / ÓTIMO</c:v>
                </c:pt>
                <c:pt idx="1">
                  <c:v>BOM</c:v>
                </c:pt>
                <c:pt idx="2">
                  <c:v>RUIM / REGULAR</c:v>
                </c:pt>
                <c:pt idx="3">
                  <c:v>NÃO SE APLICA / NÃO SEI</c:v>
                </c:pt>
              </c:strCache>
            </c:strRef>
          </c:cat>
          <c:val>
            <c:numRef>
              <c:f>'Dashboard-3-AVALIAÇÃO DISC.'!$D$91:$D$94</c:f>
              <c:numCache>
                <c:formatCode>0%</c:formatCode>
                <c:ptCount val="4"/>
                <c:pt idx="0">
                  <c:v>0.96551724137931039</c:v>
                </c:pt>
                <c:pt idx="1">
                  <c:v>1.7241379310344827E-2</c:v>
                </c:pt>
                <c:pt idx="2">
                  <c:v>0</c:v>
                </c:pt>
                <c:pt idx="3">
                  <c:v>1.7241379310344827E-2</c:v>
                </c:pt>
              </c:numCache>
            </c:numRef>
          </c:val>
          <c:extLst>
            <c:ext xmlns:c16="http://schemas.microsoft.com/office/drawing/2014/chart" uri="{C3380CC4-5D6E-409C-BE32-E72D297353CC}">
              <c16:uniqueId val="{00000001-38AE-4256-A19D-A1A7609F4FD4}"/>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7</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C4-4608-B6FA-833C826BCB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DISC.'!$C$111:$C$114</c:f>
              <c:strCache>
                <c:ptCount val="4"/>
                <c:pt idx="0">
                  <c:v>MUITO BOM / ÓTIMO</c:v>
                </c:pt>
                <c:pt idx="1">
                  <c:v>BOM</c:v>
                </c:pt>
                <c:pt idx="2">
                  <c:v>RUIM / REGULAR</c:v>
                </c:pt>
                <c:pt idx="3">
                  <c:v>NÃO SE APLICA / NÃO SEI</c:v>
                </c:pt>
              </c:strCache>
            </c:strRef>
          </c:cat>
          <c:val>
            <c:numRef>
              <c:f>'Dashboard-3-AVALIAÇÃO DISC.'!$D$111:$D$114</c:f>
              <c:numCache>
                <c:formatCode>0%</c:formatCode>
                <c:ptCount val="4"/>
                <c:pt idx="0">
                  <c:v>0.91379310344827591</c:v>
                </c:pt>
                <c:pt idx="1">
                  <c:v>3.4482758620689655E-2</c:v>
                </c:pt>
                <c:pt idx="2">
                  <c:v>1.7241379310344827E-2</c:v>
                </c:pt>
                <c:pt idx="3">
                  <c:v>3.4482758620689655E-2</c:v>
                </c:pt>
              </c:numCache>
            </c:numRef>
          </c:val>
          <c:extLst>
            <c:ext xmlns:c16="http://schemas.microsoft.com/office/drawing/2014/chart" uri="{C3380CC4-5D6E-409C-BE32-E72D297353CC}">
              <c16:uniqueId val="{00000001-75C4-4608-B6FA-833C826BCBE0}"/>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8</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9D-401B-A45A-E46981432F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DISC.'!$C$131:$C$134</c:f>
              <c:strCache>
                <c:ptCount val="4"/>
                <c:pt idx="0">
                  <c:v>MUITO BOM / ÓTIMO</c:v>
                </c:pt>
                <c:pt idx="1">
                  <c:v>BOM</c:v>
                </c:pt>
                <c:pt idx="2">
                  <c:v>RUIM / REGULAR</c:v>
                </c:pt>
                <c:pt idx="3">
                  <c:v>NÃO SE APLICA / NÃO SEI</c:v>
                </c:pt>
              </c:strCache>
            </c:strRef>
          </c:cat>
          <c:val>
            <c:numRef>
              <c:f>'Dashboard-3-AVALIAÇÃO DISC.'!$D$131:$D$134</c:f>
              <c:numCache>
                <c:formatCode>0%</c:formatCode>
                <c:ptCount val="4"/>
                <c:pt idx="0">
                  <c:v>0.93103448275862066</c:v>
                </c:pt>
                <c:pt idx="1">
                  <c:v>5.1724137931034482E-2</c:v>
                </c:pt>
                <c:pt idx="2">
                  <c:v>0</c:v>
                </c:pt>
                <c:pt idx="3">
                  <c:v>1.7241379310344827E-2</c:v>
                </c:pt>
              </c:numCache>
            </c:numRef>
          </c:val>
          <c:extLst>
            <c:ext xmlns:c16="http://schemas.microsoft.com/office/drawing/2014/chart" uri="{C3380CC4-5D6E-409C-BE32-E72D297353CC}">
              <c16:uniqueId val="{00000001-629D-401B-A45A-E46981432F7E}"/>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11</a:t>
            </a:r>
            <a:r>
              <a:rPr lang="pt-BR" baseline="0"/>
              <a:t> - O PGMAT tem contribuído para o desenvolvimento local e regional ?</a:t>
            </a:r>
            <a:endParaRPr lang="pt-BR"/>
          </a:p>
        </c:rich>
      </c:tx>
      <c:layout>
        <c:manualLayout>
          <c:xMode val="edge"/>
          <c:yMode val="edge"/>
          <c:x val="0.18161502646257513"/>
          <c:y val="3.8679370555679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v>2020</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'Dashboard-1-AVALIAÇÃO INST.'!$T$132:$T$135</c:f>
              <c:strCache>
                <c:ptCount val="4"/>
                <c:pt idx="0">
                  <c:v>MUITO BOM / ÓTIMO</c:v>
                </c:pt>
                <c:pt idx="1">
                  <c:v>BOM</c:v>
                </c:pt>
                <c:pt idx="2">
                  <c:v>RUIM / REGULAR</c:v>
                </c:pt>
                <c:pt idx="3">
                  <c:v>NÃO SE APLICA / NÃO SEI</c:v>
                </c:pt>
              </c:strCache>
            </c:strRef>
          </c:cat>
          <c:val>
            <c:numRef>
              <c:f>'Dashboard-1-AVALIAÇÃO INST.'!$U$132:$U$135</c:f>
              <c:numCache>
                <c:formatCode>0%</c:formatCode>
                <c:ptCount val="4"/>
                <c:pt idx="0">
                  <c:v>0.86407766990291268</c:v>
                </c:pt>
                <c:pt idx="1">
                  <c:v>5.8252427184466021E-2</c:v>
                </c:pt>
                <c:pt idx="2">
                  <c:v>9.7087378640776691E-3</c:v>
                </c:pt>
                <c:pt idx="3">
                  <c:v>6.7961165048543687E-2</c:v>
                </c:pt>
              </c:numCache>
            </c:numRef>
          </c:val>
          <c:extLst>
            <c:ext xmlns:c16="http://schemas.microsoft.com/office/drawing/2014/chart" uri="{C3380CC4-5D6E-409C-BE32-E72D297353CC}">
              <c16:uniqueId val="{00000000-EAE4-4553-B091-58DEAF94CF0B}"/>
            </c:ext>
          </c:extLst>
        </c:ser>
        <c:dLbls>
          <c:showLegendKey val="0"/>
          <c:showVal val="0"/>
          <c:showCatName val="0"/>
          <c:showSerName val="0"/>
          <c:showPercent val="0"/>
          <c:showBubbleSize val="0"/>
        </c:dLbls>
        <c:gapWidth val="150"/>
        <c:shape val="box"/>
        <c:axId val="409116384"/>
        <c:axId val="409115552"/>
        <c:axId val="0"/>
      </c:bar3DChart>
      <c:catAx>
        <c:axId val="40911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5552"/>
        <c:crosses val="autoZero"/>
        <c:auto val="1"/>
        <c:lblAlgn val="ctr"/>
        <c:lblOffset val="100"/>
        <c:noMultiLvlLbl val="0"/>
      </c:catAx>
      <c:valAx>
        <c:axId val="409115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116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9</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2B-474C-B928-8B9B438B8C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DISC.'!$C$150:$C$153</c:f>
              <c:strCache>
                <c:ptCount val="4"/>
                <c:pt idx="0">
                  <c:v>MUITO BOM / ÓTIMO</c:v>
                </c:pt>
                <c:pt idx="1">
                  <c:v>BOM</c:v>
                </c:pt>
                <c:pt idx="2">
                  <c:v>RUIM / REGULAR</c:v>
                </c:pt>
                <c:pt idx="3">
                  <c:v>NÃO SE APLICA / NÃO SEI</c:v>
                </c:pt>
              </c:strCache>
            </c:strRef>
          </c:cat>
          <c:val>
            <c:numRef>
              <c:f>'Dashboard-3-AVALIAÇÃO DISC.'!$D$150:$D$153</c:f>
              <c:numCache>
                <c:formatCode>0%</c:formatCode>
                <c:ptCount val="4"/>
                <c:pt idx="0">
                  <c:v>0.91379310344827591</c:v>
                </c:pt>
                <c:pt idx="1">
                  <c:v>5.1724137931034482E-2</c:v>
                </c:pt>
                <c:pt idx="2">
                  <c:v>1.7241379310344827E-2</c:v>
                </c:pt>
                <c:pt idx="3">
                  <c:v>1.7241379310344827E-2</c:v>
                </c:pt>
              </c:numCache>
            </c:numRef>
          </c:val>
          <c:extLst>
            <c:ext xmlns:c16="http://schemas.microsoft.com/office/drawing/2014/chart" uri="{C3380CC4-5D6E-409C-BE32-E72D297353CC}">
              <c16:uniqueId val="{00000001-032B-474C-B928-8B9B438B8C6F}"/>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10</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52-49E0-8489-3A0CB4D16D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DISC.'!$C$169:$C$172</c:f>
              <c:strCache>
                <c:ptCount val="4"/>
                <c:pt idx="0">
                  <c:v>MUITO BOM / ÓTIMO</c:v>
                </c:pt>
                <c:pt idx="1">
                  <c:v>BOM</c:v>
                </c:pt>
                <c:pt idx="2">
                  <c:v>RUIM / REGULAR</c:v>
                </c:pt>
                <c:pt idx="3">
                  <c:v>NÃO SE APLICA / NÃO SEI</c:v>
                </c:pt>
              </c:strCache>
            </c:strRef>
          </c:cat>
          <c:val>
            <c:numRef>
              <c:f>'Dashboard-3-AVALIAÇÃO DISC.'!$D$169:$D$172</c:f>
              <c:numCache>
                <c:formatCode>0%</c:formatCode>
                <c:ptCount val="4"/>
                <c:pt idx="0">
                  <c:v>0.96551724137931028</c:v>
                </c:pt>
                <c:pt idx="1">
                  <c:v>1.7241379310344827E-2</c:v>
                </c:pt>
                <c:pt idx="2">
                  <c:v>0</c:v>
                </c:pt>
                <c:pt idx="3">
                  <c:v>1.7241379310344827E-2</c:v>
                </c:pt>
              </c:numCache>
            </c:numRef>
          </c:val>
          <c:extLst>
            <c:ext xmlns:c16="http://schemas.microsoft.com/office/drawing/2014/chart" uri="{C3380CC4-5D6E-409C-BE32-E72D297353CC}">
              <c16:uniqueId val="{00000001-6752-49E0-8489-3A0CB4D16D41}"/>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85-401B-8181-3D2A73A10C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DISC.'!$C$188:$C$191</c:f>
              <c:strCache>
                <c:ptCount val="4"/>
                <c:pt idx="0">
                  <c:v>MUITO BOM / ÓTIMO</c:v>
                </c:pt>
                <c:pt idx="1">
                  <c:v>BOM</c:v>
                </c:pt>
                <c:pt idx="2">
                  <c:v>RUIM / REGULAR</c:v>
                </c:pt>
                <c:pt idx="3">
                  <c:v>NÃO SE APLICA / NÃO SEI</c:v>
                </c:pt>
              </c:strCache>
            </c:strRef>
          </c:cat>
          <c:val>
            <c:numRef>
              <c:f>'Dashboard-3-AVALIAÇÃO DISC.'!$D$188:$D$191</c:f>
              <c:numCache>
                <c:formatCode>0%</c:formatCode>
                <c:ptCount val="4"/>
                <c:pt idx="0">
                  <c:v>0.8793103448275863</c:v>
                </c:pt>
                <c:pt idx="1">
                  <c:v>5.1724137931034482E-2</c:v>
                </c:pt>
                <c:pt idx="2">
                  <c:v>5.1724137931034482E-2</c:v>
                </c:pt>
                <c:pt idx="3">
                  <c:v>1.7241379310344827E-2</c:v>
                </c:pt>
              </c:numCache>
            </c:numRef>
          </c:val>
          <c:extLst>
            <c:ext xmlns:c16="http://schemas.microsoft.com/office/drawing/2014/chart" uri="{C3380CC4-5D6E-409C-BE32-E72D297353CC}">
              <c16:uniqueId val="{00000001-2F85-401B-8181-3D2A73A10C60}"/>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12</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B4-4FA3-8765-A1A808F9ED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DISC.'!$C$207:$C$210</c:f>
              <c:strCache>
                <c:ptCount val="4"/>
                <c:pt idx="0">
                  <c:v>MUITO BOM / ÓTIMO</c:v>
                </c:pt>
                <c:pt idx="1">
                  <c:v>BOM</c:v>
                </c:pt>
                <c:pt idx="2">
                  <c:v>RUIM / REGULAR</c:v>
                </c:pt>
                <c:pt idx="3">
                  <c:v>NÃO SE APLICA / NÃO SEI</c:v>
                </c:pt>
              </c:strCache>
            </c:strRef>
          </c:cat>
          <c:val>
            <c:numRef>
              <c:f>'Dashboard-3-AVALIAÇÃO DISC.'!$D$207:$D$210</c:f>
              <c:numCache>
                <c:formatCode>0%</c:formatCode>
                <c:ptCount val="4"/>
                <c:pt idx="0">
                  <c:v>0.98275862068965514</c:v>
                </c:pt>
                <c:pt idx="1">
                  <c:v>0</c:v>
                </c:pt>
                <c:pt idx="2">
                  <c:v>0</c:v>
                </c:pt>
                <c:pt idx="3">
                  <c:v>1.7241379310344827E-2</c:v>
                </c:pt>
              </c:numCache>
            </c:numRef>
          </c:val>
          <c:extLst>
            <c:ext xmlns:c16="http://schemas.microsoft.com/office/drawing/2014/chart" uri="{C3380CC4-5D6E-409C-BE32-E72D297353CC}">
              <c16:uniqueId val="{00000001-15B4-4FA3-8765-A1A808F9EDB2}"/>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13</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19-4F22-81BD-DE19EA27AE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DISC.'!$C$226:$C$229</c:f>
              <c:strCache>
                <c:ptCount val="4"/>
                <c:pt idx="0">
                  <c:v>MUITO BOM / ÓTIMO</c:v>
                </c:pt>
                <c:pt idx="1">
                  <c:v>BOM</c:v>
                </c:pt>
                <c:pt idx="2">
                  <c:v>RUIM / REGULAR</c:v>
                </c:pt>
                <c:pt idx="3">
                  <c:v>NÃO SE APLICA / NÃO SEI</c:v>
                </c:pt>
              </c:strCache>
            </c:strRef>
          </c:cat>
          <c:val>
            <c:numRef>
              <c:f>'Dashboard-3-AVALIAÇÃO DISC.'!$D$226:$D$229</c:f>
              <c:numCache>
                <c:formatCode>0%</c:formatCode>
                <c:ptCount val="4"/>
                <c:pt idx="0">
                  <c:v>0.8793103448275863</c:v>
                </c:pt>
                <c:pt idx="1">
                  <c:v>6.8965517241379309E-2</c:v>
                </c:pt>
                <c:pt idx="2">
                  <c:v>1.7241379310344827E-2</c:v>
                </c:pt>
                <c:pt idx="3">
                  <c:v>3.4482758620689655E-2</c:v>
                </c:pt>
              </c:numCache>
            </c:numRef>
          </c:val>
          <c:extLst>
            <c:ext xmlns:c16="http://schemas.microsoft.com/office/drawing/2014/chart" uri="{C3380CC4-5D6E-409C-BE32-E72D297353CC}">
              <c16:uniqueId val="{00000001-6619-4F22-81BD-DE19EA27AE1C}"/>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14</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DISC.'!$C$245:$C$248</c:f>
              <c:strCache>
                <c:ptCount val="4"/>
                <c:pt idx="0">
                  <c:v>MUITO BOM / ÓTIMO</c:v>
                </c:pt>
                <c:pt idx="1">
                  <c:v>BOM</c:v>
                </c:pt>
                <c:pt idx="2">
                  <c:v>RUIM / REGULAR</c:v>
                </c:pt>
                <c:pt idx="3">
                  <c:v>NÃO SE APLICA / NÃO SEI</c:v>
                </c:pt>
              </c:strCache>
            </c:strRef>
          </c:cat>
          <c:val>
            <c:numRef>
              <c:f>'Dashboard-3-AVALIAÇÃO DISC.'!$D$245:$D$248</c:f>
              <c:numCache>
                <c:formatCode>0%</c:formatCode>
                <c:ptCount val="4"/>
                <c:pt idx="0">
                  <c:v>0.67241379310344829</c:v>
                </c:pt>
                <c:pt idx="1">
                  <c:v>0.22413793103448276</c:v>
                </c:pt>
                <c:pt idx="2">
                  <c:v>8.6206896551724144E-2</c:v>
                </c:pt>
                <c:pt idx="3">
                  <c:v>1.7241379310344827E-2</c:v>
                </c:pt>
              </c:numCache>
            </c:numRef>
          </c:val>
          <c:extLst>
            <c:ext xmlns:c16="http://schemas.microsoft.com/office/drawing/2014/chart" uri="{C3380CC4-5D6E-409C-BE32-E72D297353CC}">
              <c16:uniqueId val="{00000000-8AB4-4FB0-AA3C-4C35CD075F45}"/>
            </c:ext>
          </c:extLst>
        </c:ser>
        <c:dLbls>
          <c:dLblPos val="out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15</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21-4530-9F96-D0506FADCC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DISC.'!$C$264:$C$267</c:f>
              <c:strCache>
                <c:ptCount val="4"/>
                <c:pt idx="0">
                  <c:v>MUITO BOM / ÓTIMO</c:v>
                </c:pt>
                <c:pt idx="1">
                  <c:v>BOM</c:v>
                </c:pt>
                <c:pt idx="2">
                  <c:v>RUIM / REGULAR</c:v>
                </c:pt>
                <c:pt idx="3">
                  <c:v>NÃO SE APLICA / NÃO SEI</c:v>
                </c:pt>
              </c:strCache>
            </c:strRef>
          </c:cat>
          <c:val>
            <c:numRef>
              <c:f>'Dashboard-3-AVALIAÇÃO DISC.'!$D$264:$D$267</c:f>
              <c:numCache>
                <c:formatCode>0%</c:formatCode>
                <c:ptCount val="4"/>
                <c:pt idx="0">
                  <c:v>0.94827586206896552</c:v>
                </c:pt>
                <c:pt idx="1">
                  <c:v>0</c:v>
                </c:pt>
                <c:pt idx="2">
                  <c:v>3.4482758620689655E-2</c:v>
                </c:pt>
                <c:pt idx="3">
                  <c:v>1.7241379310344827E-2</c:v>
                </c:pt>
              </c:numCache>
            </c:numRef>
          </c:val>
          <c:extLst>
            <c:ext xmlns:c16="http://schemas.microsoft.com/office/drawing/2014/chart" uri="{C3380CC4-5D6E-409C-BE32-E72D297353CC}">
              <c16:uniqueId val="{00000001-B021-4530-9F96-D0506FADCC10}"/>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16</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59-45A2-AA32-AED39B4BB8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DISC.'!$C$283:$C$286</c:f>
              <c:strCache>
                <c:ptCount val="4"/>
                <c:pt idx="0">
                  <c:v>MUITO BOM / ÓTIMO</c:v>
                </c:pt>
                <c:pt idx="1">
                  <c:v>BOM</c:v>
                </c:pt>
                <c:pt idx="2">
                  <c:v>RUIM / REGULAR</c:v>
                </c:pt>
                <c:pt idx="3">
                  <c:v>NÃO SE APLICA / NÃO SEI</c:v>
                </c:pt>
              </c:strCache>
            </c:strRef>
          </c:cat>
          <c:val>
            <c:numRef>
              <c:f>'Dashboard-3-AVALIAÇÃO DISC.'!$D$283:$D$286</c:f>
              <c:numCache>
                <c:formatCode>0%</c:formatCode>
                <c:ptCount val="4"/>
                <c:pt idx="0">
                  <c:v>0.87931034482758619</c:v>
                </c:pt>
                <c:pt idx="1">
                  <c:v>3.4482758620689655E-2</c:v>
                </c:pt>
                <c:pt idx="2">
                  <c:v>5.1724137931034482E-2</c:v>
                </c:pt>
                <c:pt idx="3">
                  <c:v>3.4482758620689655E-2</c:v>
                </c:pt>
              </c:numCache>
            </c:numRef>
          </c:val>
          <c:extLst>
            <c:ext xmlns:c16="http://schemas.microsoft.com/office/drawing/2014/chart" uri="{C3380CC4-5D6E-409C-BE32-E72D297353CC}">
              <c16:uniqueId val="{00000001-8D59-45A2-AA32-AED39B4BB891}"/>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17</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79-405F-AB93-11AEEA75BF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DISC.'!$C$302:$C$305</c:f>
              <c:strCache>
                <c:ptCount val="4"/>
                <c:pt idx="0">
                  <c:v>MUITO BOM / ÓTIMO</c:v>
                </c:pt>
                <c:pt idx="1">
                  <c:v>BOM</c:v>
                </c:pt>
                <c:pt idx="2">
                  <c:v>RUIM / REGULAR</c:v>
                </c:pt>
                <c:pt idx="3">
                  <c:v>NÃO SE APLICA / NÃO SEI</c:v>
                </c:pt>
              </c:strCache>
            </c:strRef>
          </c:cat>
          <c:val>
            <c:numRef>
              <c:f>'Dashboard-3-AVALIAÇÃO DISC.'!$D$302:$D$305</c:f>
              <c:numCache>
                <c:formatCode>0%</c:formatCode>
                <c:ptCount val="4"/>
                <c:pt idx="0">
                  <c:v>0.89655172413793105</c:v>
                </c:pt>
                <c:pt idx="1">
                  <c:v>3.4482758620689655E-2</c:v>
                </c:pt>
                <c:pt idx="2">
                  <c:v>5.1724137931034482E-2</c:v>
                </c:pt>
                <c:pt idx="3">
                  <c:v>1.7241379310344827E-2</c:v>
                </c:pt>
              </c:numCache>
            </c:numRef>
          </c:val>
          <c:extLst>
            <c:ext xmlns:c16="http://schemas.microsoft.com/office/drawing/2014/chart" uri="{C3380CC4-5D6E-409C-BE32-E72D297353CC}">
              <c16:uniqueId val="{00000001-7679-405F-AB93-11AEEA75BFE1}"/>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19</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84-42F6-8DC5-5E5A231F6F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DISC.'!$C$322:$C$325</c:f>
              <c:strCache>
                <c:ptCount val="4"/>
                <c:pt idx="0">
                  <c:v>MUITO BOM / ÓTIMO</c:v>
                </c:pt>
                <c:pt idx="1">
                  <c:v>BOM</c:v>
                </c:pt>
                <c:pt idx="2">
                  <c:v>RUIM / REGULAR</c:v>
                </c:pt>
                <c:pt idx="3">
                  <c:v>NÃO SE APLICA / NÃO SEI</c:v>
                </c:pt>
              </c:strCache>
            </c:strRef>
          </c:cat>
          <c:val>
            <c:numRef>
              <c:f>'Dashboard-3-AVALIAÇÃO DISC.'!$D$322:$D$325</c:f>
              <c:numCache>
                <c:formatCode>0%</c:formatCode>
                <c:ptCount val="4"/>
                <c:pt idx="0">
                  <c:v>0.7068965517241379</c:v>
                </c:pt>
                <c:pt idx="1">
                  <c:v>0.10344827586206896</c:v>
                </c:pt>
                <c:pt idx="2">
                  <c:v>1.7241379310344827E-2</c:v>
                </c:pt>
                <c:pt idx="3">
                  <c:v>0.17241379310344829</c:v>
                </c:pt>
              </c:numCache>
            </c:numRef>
          </c:val>
          <c:extLst>
            <c:ext xmlns:c16="http://schemas.microsoft.com/office/drawing/2014/chart" uri="{C3380CC4-5D6E-409C-BE32-E72D297353CC}">
              <c16:uniqueId val="{00000001-DE84-42F6-8DC5-5E5A231F6F02}"/>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baseline="0">
                <a:solidFill>
                  <a:schemeClr val="tx1">
                    <a:lumMod val="65000"/>
                    <a:lumOff val="35000"/>
                  </a:schemeClr>
                </a:solidFill>
                <a:latin typeface="+mn-lt"/>
                <a:ea typeface="+mn-ea"/>
                <a:cs typeface="+mn-cs"/>
              </a:defRPr>
            </a:pPr>
            <a:r>
              <a:rPr lang="pt-BR"/>
              <a:t>QUESTÃO 12 - A atuação do Colegiado do PGMAT tem sido eficiente e transparente ? </a:t>
            </a:r>
          </a:p>
        </c:rich>
      </c:tx>
      <c:layout>
        <c:manualLayout>
          <c:xMode val="edge"/>
          <c:yMode val="edge"/>
          <c:x val="0.34119946038468824"/>
          <c:y val="3.8532111947415633E-2"/>
        </c:manualLayout>
      </c:layout>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2020,3</c:v>
          </c:tx>
          <c:invertIfNegative val="0"/>
          <c:dLbls>
            <c:spPr>
              <a:noFill/>
              <a:ln>
                <a:noFill/>
              </a:ln>
              <a:effectLst/>
            </c:spPr>
            <c:txPr>
              <a:bodyPr wrap="square" lIns="38100" tIns="19050" rIns="38100" bIns="19050" anchor="ctr">
                <a:spAutoFit/>
              </a:bodyPr>
              <a:lstStyle/>
              <a:p>
                <a:pPr>
                  <a:defRPr sz="11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'Dashboard-1-AVALIAÇÃO INST.'!$D$154:$D$157</c:f>
              <c:strCache>
                <c:ptCount val="4"/>
                <c:pt idx="0">
                  <c:v>MUITO BOM / ÓTIMO</c:v>
                </c:pt>
                <c:pt idx="1">
                  <c:v>BOM</c:v>
                </c:pt>
                <c:pt idx="2">
                  <c:v>RUIM / REGULAR</c:v>
                </c:pt>
                <c:pt idx="3">
                  <c:v>NÃO SE APLICA / NÃO SEI</c:v>
                </c:pt>
              </c:strCache>
            </c:strRef>
          </c:cat>
          <c:val>
            <c:numRef>
              <c:f>'Dashboard-1-AVALIAÇÃO INST.'!$F$154:$F$157</c:f>
              <c:numCache>
                <c:formatCode>0%</c:formatCode>
                <c:ptCount val="4"/>
                <c:pt idx="0">
                  <c:v>0.77777777777777768</c:v>
                </c:pt>
                <c:pt idx="1">
                  <c:v>8.8888888888888892E-2</c:v>
                </c:pt>
                <c:pt idx="2">
                  <c:v>2.2222222222222223E-2</c:v>
                </c:pt>
                <c:pt idx="3">
                  <c:v>0.1111111111111111</c:v>
                </c:pt>
              </c:numCache>
            </c:numRef>
          </c:val>
          <c:extLst>
            <c:ext xmlns:c16="http://schemas.microsoft.com/office/drawing/2014/chart" uri="{C3380CC4-5D6E-409C-BE32-E72D297353CC}">
              <c16:uniqueId val="{00000000-BA1A-456C-A2C3-1D4A627AF781}"/>
            </c:ext>
          </c:extLst>
        </c:ser>
        <c:ser>
          <c:idx val="0"/>
          <c:order val="1"/>
          <c:tx>
            <c:v>2020,2</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0"/>
                  <c:y val="-2.282919656507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1A-456C-A2C3-1D4A627AF781}"/>
                </c:ext>
              </c:extLst>
            </c:dLbl>
            <c:dLbl>
              <c:idx val="1"/>
              <c:layout>
                <c:manualLayout>
                  <c:x val="-1.8610834553783994E-3"/>
                  <c:y val="-1.7180561614972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1A-456C-A2C3-1D4A627AF78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'Dashboard-1-AVALIAÇÃO INST.'!$D$154:$D$157</c:f>
              <c:strCache>
                <c:ptCount val="4"/>
                <c:pt idx="0">
                  <c:v>MUITO BOM / ÓTIMO</c:v>
                </c:pt>
                <c:pt idx="1">
                  <c:v>BOM</c:v>
                </c:pt>
                <c:pt idx="2">
                  <c:v>RUIM / REGULAR</c:v>
                </c:pt>
                <c:pt idx="3">
                  <c:v>NÃO SE APLICA / NÃO SEI</c:v>
                </c:pt>
              </c:strCache>
            </c:strRef>
          </c:cat>
          <c:val>
            <c:numRef>
              <c:f>'Dashboard-1-AVALIAÇÃO INST.'!$E$154:$E$157</c:f>
              <c:numCache>
                <c:formatCode>0%</c:formatCode>
                <c:ptCount val="4"/>
                <c:pt idx="0">
                  <c:v>0.72413793103448265</c:v>
                </c:pt>
                <c:pt idx="1">
                  <c:v>6.8965517241379309E-2</c:v>
                </c:pt>
                <c:pt idx="2">
                  <c:v>6.8965517241379309E-2</c:v>
                </c:pt>
                <c:pt idx="3">
                  <c:v>0.13793103448275862</c:v>
                </c:pt>
              </c:numCache>
            </c:numRef>
          </c:val>
          <c:extLst>
            <c:ext xmlns:c16="http://schemas.microsoft.com/office/drawing/2014/chart" uri="{C3380CC4-5D6E-409C-BE32-E72D297353CC}">
              <c16:uniqueId val="{00000003-BA1A-456C-A2C3-1D4A627AF781}"/>
            </c:ext>
          </c:extLst>
        </c:ser>
        <c:dLbls>
          <c:showLegendKey val="0"/>
          <c:showVal val="1"/>
          <c:showCatName val="0"/>
          <c:showSerName val="0"/>
          <c:showPercent val="0"/>
          <c:showBubbleSize val="0"/>
        </c:dLbls>
        <c:gapWidth val="150"/>
        <c:shape val="box"/>
        <c:axId val="45561088"/>
        <c:axId val="45560672"/>
        <c:axId val="0"/>
      </c:bar3DChart>
      <c:catAx>
        <c:axId val="4556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0672"/>
        <c:crosses val="autoZero"/>
        <c:auto val="1"/>
        <c:lblAlgn val="ctr"/>
        <c:lblOffset val="100"/>
        <c:noMultiLvlLbl val="0"/>
      </c:catAx>
      <c:valAx>
        <c:axId val="45560672"/>
        <c:scaling>
          <c:orientation val="minMax"/>
        </c:scaling>
        <c:delete val="0"/>
        <c:axPos val="b"/>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pt-BR"/>
          </a:p>
        </c:txPr>
        <c:crossAx val="45561088"/>
        <c:crosses val="autoZero"/>
        <c:crossBetween val="between"/>
      </c:valAx>
      <c:dTable>
        <c:showHorzBorder val="1"/>
        <c:showVertBorder val="1"/>
        <c:showOutline val="1"/>
        <c:showKeys val="1"/>
      </c:dTable>
    </c:plotArea>
    <c:legend>
      <c:legendPos val="r"/>
      <c:layout>
        <c:manualLayout>
          <c:xMode val="edge"/>
          <c:yMode val="edge"/>
          <c:x val="0.85968173308164975"/>
          <c:y val="0.334772029510572"/>
          <c:w val="0.1285659049172222"/>
          <c:h val="0.28521255983605376"/>
        </c:manualLayout>
      </c:layout>
      <c:overlay val="0"/>
    </c:legend>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20</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B9-47A6-BD8C-64D4DF82D1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DISC.'!$C$342:$C$345</c:f>
              <c:strCache>
                <c:ptCount val="4"/>
                <c:pt idx="0">
                  <c:v>MUITO BOM / ÓTIMO</c:v>
                </c:pt>
                <c:pt idx="1">
                  <c:v>BOM</c:v>
                </c:pt>
                <c:pt idx="2">
                  <c:v>RUIM / REGULAR</c:v>
                </c:pt>
                <c:pt idx="3">
                  <c:v>NÃO SE APLICA / NÃO SEI</c:v>
                </c:pt>
              </c:strCache>
            </c:strRef>
          </c:cat>
          <c:val>
            <c:numRef>
              <c:f>'Dashboard-3-AVALIAÇÃO DISC.'!$D$342:$D$345</c:f>
              <c:numCache>
                <c:formatCode>0%</c:formatCode>
                <c:ptCount val="4"/>
                <c:pt idx="0">
                  <c:v>0.81034482758620696</c:v>
                </c:pt>
                <c:pt idx="1">
                  <c:v>1.7241379310344827E-2</c:v>
                </c:pt>
                <c:pt idx="2">
                  <c:v>1.7241379310344827E-2</c:v>
                </c:pt>
                <c:pt idx="3">
                  <c:v>0.15517241379310345</c:v>
                </c:pt>
              </c:numCache>
            </c:numRef>
          </c:val>
          <c:extLst>
            <c:ext xmlns:c16="http://schemas.microsoft.com/office/drawing/2014/chart" uri="{C3380CC4-5D6E-409C-BE32-E72D297353CC}">
              <c16:uniqueId val="{00000001-CFB9-47A6-BD8C-64D4DF82D108}"/>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D0-4469-B827-79E7FC644E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DISC.'!$C$361:$C$364</c:f>
              <c:strCache>
                <c:ptCount val="4"/>
                <c:pt idx="0">
                  <c:v>MUITO BOM / ÓTIMO</c:v>
                </c:pt>
                <c:pt idx="1">
                  <c:v>BOM</c:v>
                </c:pt>
                <c:pt idx="2">
                  <c:v>RUIM / REGULAR</c:v>
                </c:pt>
                <c:pt idx="3">
                  <c:v>NÃO SE APLICA / NÃO SEI</c:v>
                </c:pt>
              </c:strCache>
            </c:strRef>
          </c:cat>
          <c:val>
            <c:numRef>
              <c:f>'Dashboard-3-AVALIAÇÃO DISC.'!$D$361:$D$364</c:f>
              <c:numCache>
                <c:formatCode>0%</c:formatCode>
                <c:ptCount val="4"/>
                <c:pt idx="0">
                  <c:v>0.75862068965517249</c:v>
                </c:pt>
                <c:pt idx="1">
                  <c:v>6.8965517241379309E-2</c:v>
                </c:pt>
                <c:pt idx="2">
                  <c:v>0</c:v>
                </c:pt>
                <c:pt idx="3">
                  <c:v>0.17241379310344829</c:v>
                </c:pt>
              </c:numCache>
            </c:numRef>
          </c:val>
          <c:extLst>
            <c:ext xmlns:c16="http://schemas.microsoft.com/office/drawing/2014/chart" uri="{C3380CC4-5D6E-409C-BE32-E72D297353CC}">
              <c16:uniqueId val="{00000001-1ED0-4469-B827-79E7FC644EDA}"/>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22</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B2-443F-B1EC-2EDBA1DD06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DISC.'!$C$380:$C$383</c:f>
              <c:strCache>
                <c:ptCount val="4"/>
                <c:pt idx="0">
                  <c:v>MUITO BOM / ÓTIMO</c:v>
                </c:pt>
                <c:pt idx="1">
                  <c:v>BOM</c:v>
                </c:pt>
                <c:pt idx="2">
                  <c:v>RUIM / REGULAR</c:v>
                </c:pt>
                <c:pt idx="3">
                  <c:v>NÃO SE APLICA / NÃO SEI</c:v>
                </c:pt>
              </c:strCache>
            </c:strRef>
          </c:cat>
          <c:val>
            <c:numRef>
              <c:f>'Dashboard-3-AVALIAÇÃO DISC.'!$D$380:$D$383</c:f>
              <c:numCache>
                <c:formatCode>0%</c:formatCode>
                <c:ptCount val="4"/>
                <c:pt idx="0">
                  <c:v>0.37931034482758619</c:v>
                </c:pt>
                <c:pt idx="1">
                  <c:v>0.22413793103448276</c:v>
                </c:pt>
                <c:pt idx="2">
                  <c:v>0.20689655172413796</c:v>
                </c:pt>
                <c:pt idx="3">
                  <c:v>0.18965517241379309</c:v>
                </c:pt>
              </c:numCache>
            </c:numRef>
          </c:val>
          <c:extLst>
            <c:ext xmlns:c16="http://schemas.microsoft.com/office/drawing/2014/chart" uri="{C3380CC4-5D6E-409C-BE32-E72D297353CC}">
              <c16:uniqueId val="{00000001-8FB2-443F-B1EC-2EDBA1DD06FF}"/>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23</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EB-4835-9F6B-7BA5ACD7E4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DISC.'!$C$399:$C$402</c:f>
              <c:strCache>
                <c:ptCount val="4"/>
                <c:pt idx="0">
                  <c:v>MUITO BOM / ÓTIMO</c:v>
                </c:pt>
                <c:pt idx="1">
                  <c:v>BOM</c:v>
                </c:pt>
                <c:pt idx="2">
                  <c:v>RUIM / REGULAR</c:v>
                </c:pt>
                <c:pt idx="3">
                  <c:v>NÃO SE APLICA / NÃO SEI</c:v>
                </c:pt>
              </c:strCache>
            </c:strRef>
          </c:cat>
          <c:val>
            <c:numRef>
              <c:f>'Dashboard-3-AVALIAÇÃO DISC.'!$D$399:$D$402</c:f>
              <c:numCache>
                <c:formatCode>0%</c:formatCode>
                <c:ptCount val="4"/>
                <c:pt idx="0">
                  <c:v>0.60344827586206895</c:v>
                </c:pt>
                <c:pt idx="1">
                  <c:v>0.17241379310344829</c:v>
                </c:pt>
                <c:pt idx="2">
                  <c:v>3.4482758620689655E-2</c:v>
                </c:pt>
                <c:pt idx="3">
                  <c:v>0.18965517241379309</c:v>
                </c:pt>
              </c:numCache>
            </c:numRef>
          </c:val>
          <c:extLst>
            <c:ext xmlns:c16="http://schemas.microsoft.com/office/drawing/2014/chart" uri="{C3380CC4-5D6E-409C-BE32-E72D297353CC}">
              <c16:uniqueId val="{00000001-3DEB-4835-9F6B-7BA5ACD7E4D6}"/>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24</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8D-473E-A45B-A3423E9010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DISC.'!$C$418:$C$421</c:f>
              <c:strCache>
                <c:ptCount val="4"/>
                <c:pt idx="0">
                  <c:v>MUITO BOM / ÓTIMO</c:v>
                </c:pt>
                <c:pt idx="1">
                  <c:v>BOM</c:v>
                </c:pt>
                <c:pt idx="2">
                  <c:v>RUIM / REGULAR</c:v>
                </c:pt>
                <c:pt idx="3">
                  <c:v>NÃO SE APLICA / NÃO SEI</c:v>
                </c:pt>
              </c:strCache>
            </c:strRef>
          </c:cat>
          <c:val>
            <c:numRef>
              <c:f>'Dashboard-3-AVALIAÇÃO DISC.'!$D$418:$D$421</c:f>
              <c:numCache>
                <c:formatCode>0%</c:formatCode>
                <c:ptCount val="4"/>
                <c:pt idx="0">
                  <c:v>0.63793103448275867</c:v>
                </c:pt>
                <c:pt idx="1">
                  <c:v>0.10344827586206896</c:v>
                </c:pt>
                <c:pt idx="2">
                  <c:v>8.6206896551724144E-2</c:v>
                </c:pt>
                <c:pt idx="3">
                  <c:v>0.17241379310344829</c:v>
                </c:pt>
              </c:numCache>
            </c:numRef>
          </c:val>
          <c:extLst>
            <c:ext xmlns:c16="http://schemas.microsoft.com/office/drawing/2014/chart" uri="{C3380CC4-5D6E-409C-BE32-E72D297353CC}">
              <c16:uniqueId val="{00000001-5F8D-473E-A45B-A3423E9010F3}"/>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25</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43-4BE2-B645-ABC5602D9B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DISC.'!$C$437:$C$440</c:f>
              <c:strCache>
                <c:ptCount val="4"/>
                <c:pt idx="0">
                  <c:v>MUITO BOM / ÓTIMO</c:v>
                </c:pt>
                <c:pt idx="1">
                  <c:v>BOM</c:v>
                </c:pt>
                <c:pt idx="2">
                  <c:v>RUIM / REGULAR</c:v>
                </c:pt>
                <c:pt idx="3">
                  <c:v>NÃO SE APLICA / NÃO SEI</c:v>
                </c:pt>
              </c:strCache>
            </c:strRef>
          </c:cat>
          <c:val>
            <c:numRef>
              <c:f>'Dashboard-3-AVALIAÇÃO DISC.'!$D$437:$D$440</c:f>
              <c:numCache>
                <c:formatCode>0%</c:formatCode>
                <c:ptCount val="4"/>
                <c:pt idx="0">
                  <c:v>0.62068965517241381</c:v>
                </c:pt>
                <c:pt idx="1">
                  <c:v>0</c:v>
                </c:pt>
                <c:pt idx="2">
                  <c:v>0</c:v>
                </c:pt>
                <c:pt idx="3">
                  <c:v>0.37931034482758619</c:v>
                </c:pt>
              </c:numCache>
            </c:numRef>
          </c:val>
          <c:extLst>
            <c:ext xmlns:c16="http://schemas.microsoft.com/office/drawing/2014/chart" uri="{C3380CC4-5D6E-409C-BE32-E72D297353CC}">
              <c16:uniqueId val="{00000001-0443-4BE2-B645-ABC5602D9B30}"/>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Questão 26</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tx>
            <c:v>2020</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810498687664055E-2"/>
                  <c:y val="-9.29435819901079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9E-42EF-8516-D8FCE0589F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'Dashboard-3-AVALIAÇÃO DISC.'!$C$456:$C$459</c:f>
              <c:strCache>
                <c:ptCount val="4"/>
                <c:pt idx="0">
                  <c:v>MUITO BOM / ÓTIMO</c:v>
                </c:pt>
                <c:pt idx="1">
                  <c:v>BOM</c:v>
                </c:pt>
                <c:pt idx="2">
                  <c:v>RUIM / REGULAR</c:v>
                </c:pt>
                <c:pt idx="3">
                  <c:v>NÃO SE APLICA / NÃO SEI</c:v>
                </c:pt>
              </c:strCache>
            </c:strRef>
          </c:cat>
          <c:val>
            <c:numRef>
              <c:f>'Dashboard-3-AVALIAÇÃO DISC.'!$D$456:$D$459</c:f>
              <c:numCache>
                <c:formatCode>0%</c:formatCode>
                <c:ptCount val="4"/>
                <c:pt idx="0">
                  <c:v>0.31034482758620691</c:v>
                </c:pt>
                <c:pt idx="1">
                  <c:v>0.15517241379310345</c:v>
                </c:pt>
                <c:pt idx="2">
                  <c:v>5.1724137931034482E-2</c:v>
                </c:pt>
                <c:pt idx="3">
                  <c:v>0.48275862068965519</c:v>
                </c:pt>
              </c:numCache>
            </c:numRef>
          </c:val>
          <c:extLst>
            <c:ext xmlns:c16="http://schemas.microsoft.com/office/drawing/2014/chart" uri="{C3380CC4-5D6E-409C-BE32-E72D297353CC}">
              <c16:uniqueId val="{00000001-6C9E-42EF-8516-D8FCE0589FCB}"/>
            </c:ext>
          </c:extLst>
        </c:ser>
        <c:dLbls>
          <c:dLblPos val="inEnd"/>
          <c:showLegendKey val="0"/>
          <c:showVal val="1"/>
          <c:showCatName val="0"/>
          <c:showSerName val="0"/>
          <c:showPercent val="0"/>
          <c:showBubbleSize val="0"/>
        </c:dLbls>
        <c:gapWidth val="115"/>
        <c:overlap val="-20"/>
        <c:axId val="1340560048"/>
        <c:axId val="1340569616"/>
      </c:barChart>
      <c:catAx>
        <c:axId val="13405600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9616"/>
        <c:crosses val="autoZero"/>
        <c:auto val="1"/>
        <c:lblAlgn val="ctr"/>
        <c:lblOffset val="100"/>
        <c:noMultiLvlLbl val="0"/>
      </c:catAx>
      <c:valAx>
        <c:axId val="1340569616"/>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340560048"/>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pt-BR" b="1"/>
              <a:t>QUESTÃO - </a:t>
            </a:r>
            <a:r>
              <a:rPr lang="pt-BR" b="0"/>
              <a:t>Qual é a sua atuação no PGMAT ?</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7DE-9445-8D47-5354BDA59A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7DE-9445-8D47-5354BDA59A18}"/>
              </c:ext>
            </c:extLst>
          </c:dPt>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'Dashboard-3-AVALIAÇÃO DISC.'!$A$54:$A$55</c:f>
              <c:strCache>
                <c:ptCount val="2"/>
                <c:pt idx="0">
                  <c:v>DISCENTE</c:v>
                </c:pt>
                <c:pt idx="1">
                  <c:v>DOCENTE</c:v>
                </c:pt>
              </c:strCache>
            </c:strRef>
          </c:cat>
          <c:val>
            <c:numRef>
              <c:f>'Dashboard-3-AVALIAÇÃO DISC.'!$A$56:$A$57</c:f>
              <c:numCache>
                <c:formatCode>0%</c:formatCode>
                <c:ptCount val="2"/>
                <c:pt idx="0">
                  <c:v>0.82758620689655171</c:v>
                </c:pt>
                <c:pt idx="1">
                  <c:v>0.17241379310344829</c:v>
                </c:pt>
              </c:numCache>
            </c:numRef>
          </c:val>
          <c:extLst>
            <c:ext xmlns:c16="http://schemas.microsoft.com/office/drawing/2014/chart" uri="{C3380CC4-5D6E-409C-BE32-E72D297353CC}">
              <c16:uniqueId val="{00000000-EB7C-CE40-969B-BF17AEB758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pt-BR"/>
    </a:p>
  </c:txPr>
  <c:printSettings>
    <c:headerFooter/>
    <c:pageMargins b="0.78740157499999996" l="0.511811024" r="0.511811024" t="0.78740157499999996" header="0.31496062000000002" footer="0.3149606200000000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600" b="1">
                <a:latin typeface="+mj-lt"/>
              </a:rPr>
              <a:t>[3] </a:t>
            </a:r>
          </a:p>
        </c:rich>
      </c:tx>
      <c:layout>
        <c:manualLayout>
          <c:xMode val="edge"/>
          <c:yMode val="edge"/>
          <c:x val="0.7768027210884354"/>
          <c:y val="2.39448720595318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'D3'!$B$28:$B$31</c:f>
              <c:strCache>
                <c:ptCount val="4"/>
                <c:pt idx="0">
                  <c:v>MUITO BOM / ÓTIMO</c:v>
                </c:pt>
                <c:pt idx="1">
                  <c:v>BOM</c:v>
                </c:pt>
                <c:pt idx="2">
                  <c:v>RUIM / REGULAR</c:v>
                </c:pt>
                <c:pt idx="3">
                  <c:v>NÃO SE APLICA / NÃO SEI</c:v>
                </c:pt>
              </c:strCache>
            </c:strRef>
          </c:cat>
          <c:val>
            <c:numRef>
              <c:f>'D3'!$C$28:$C$31</c:f>
              <c:numCache>
                <c:formatCode>0%</c:formatCode>
                <c:ptCount val="4"/>
                <c:pt idx="0">
                  <c:v>0.8</c:v>
                </c:pt>
                <c:pt idx="1">
                  <c:v>0.2</c:v>
                </c:pt>
                <c:pt idx="2">
                  <c:v>0</c:v>
                </c:pt>
                <c:pt idx="3">
                  <c:v>0</c:v>
                </c:pt>
              </c:numCache>
            </c:numRef>
          </c:val>
          <c:extLst>
            <c:ext xmlns:c16="http://schemas.microsoft.com/office/drawing/2014/chart" uri="{C3380CC4-5D6E-409C-BE32-E72D297353CC}">
              <c16:uniqueId val="{00000000-99B2-4327-A1CB-82D223C998D8}"/>
            </c:ext>
          </c:extLst>
        </c:ser>
        <c:dLbls>
          <c:showLegendKey val="0"/>
          <c:showVal val="0"/>
          <c:showCatName val="0"/>
          <c:showSerName val="0"/>
          <c:showPercent val="0"/>
          <c:showBubbleSize val="0"/>
        </c:dLbls>
        <c:gapWidth val="150"/>
        <c:shape val="box"/>
        <c:axId val="1150909104"/>
        <c:axId val="1150909936"/>
        <c:axId val="0"/>
      </c:bar3DChart>
      <c:catAx>
        <c:axId val="115090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936"/>
        <c:crosses val="autoZero"/>
        <c:auto val="1"/>
        <c:lblAlgn val="ctr"/>
        <c:lblOffset val="100"/>
        <c:noMultiLvlLbl val="0"/>
      </c:catAx>
      <c:valAx>
        <c:axId val="115090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0909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600" b="1" i="0" baseline="0">
                <a:effectLst/>
              </a:rPr>
              <a:t>[5]</a:t>
            </a:r>
            <a:endParaRPr lang="pt-BR" sz="1600">
              <a:effectLst/>
            </a:endParaRPr>
          </a:p>
        </c:rich>
      </c:tx>
      <c:layout>
        <c:manualLayout>
          <c:xMode val="edge"/>
          <c:yMode val="edge"/>
          <c:x val="0.78891315381157467"/>
          <c:y val="3.04182509505703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strRef>
              <c:f>'D5'!$B$28:$B$31</c:f>
              <c:strCache>
                <c:ptCount val="4"/>
                <c:pt idx="0">
                  <c:v>MUITO BOM / ÓTIMO</c:v>
                </c:pt>
                <c:pt idx="1">
                  <c:v>BOM</c:v>
                </c:pt>
                <c:pt idx="2">
                  <c:v>RUIM / REGULAR</c:v>
                </c:pt>
                <c:pt idx="3">
                  <c:v>NÃO SE APLICA / NÃO SEI</c:v>
                </c:pt>
              </c:strCache>
            </c:strRef>
          </c:cat>
          <c:val>
            <c:numRef>
              <c:f>'D5'!$C$28:$C$31</c:f>
              <c:numCache>
                <c:formatCode>0%</c:formatCode>
                <c:ptCount val="4"/>
                <c:pt idx="0">
                  <c:v>1</c:v>
                </c:pt>
                <c:pt idx="1">
                  <c:v>0</c:v>
                </c:pt>
                <c:pt idx="2">
                  <c:v>0</c:v>
                </c:pt>
                <c:pt idx="3">
                  <c:v>0</c:v>
                </c:pt>
              </c:numCache>
            </c:numRef>
          </c:val>
          <c:extLst>
            <c:ext xmlns:c16="http://schemas.microsoft.com/office/drawing/2014/chart" uri="{C3380CC4-5D6E-409C-BE32-E72D297353CC}">
              <c16:uniqueId val="{00000000-A5F1-4917-8AA1-E85ABD37AE28}"/>
            </c:ext>
          </c:extLst>
        </c:ser>
        <c:dLbls>
          <c:showLegendKey val="0"/>
          <c:showVal val="0"/>
          <c:showCatName val="0"/>
          <c:showSerName val="0"/>
          <c:showPercent val="0"/>
          <c:showBubbleSize val="0"/>
        </c:dLbls>
        <c:gapWidth val="150"/>
        <c:shape val="box"/>
        <c:axId val="1155941328"/>
        <c:axId val="1155943824"/>
        <c:axId val="0"/>
      </c:bar3DChart>
      <c:catAx>
        <c:axId val="1155941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3824"/>
        <c:crosses val="autoZero"/>
        <c:auto val="1"/>
        <c:lblAlgn val="ctr"/>
        <c:lblOffset val="100"/>
        <c:noMultiLvlLbl val="0"/>
      </c:catAx>
      <c:valAx>
        <c:axId val="1155943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5941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image" Target="../media/image1.tiff"/><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5.xml"/><Relationship Id="rId20" Type="http://schemas.openxmlformats.org/officeDocument/2006/relationships/chart" Target="../charts/chart20.xml"/><Relationship Id="rId4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18" Type="http://schemas.openxmlformats.org/officeDocument/2006/relationships/chart" Target="../charts/chart63.xml"/><Relationship Id="rId3" Type="http://schemas.openxmlformats.org/officeDocument/2006/relationships/chart" Target="../charts/chart48.xml"/><Relationship Id="rId21" Type="http://schemas.openxmlformats.org/officeDocument/2006/relationships/image" Target="../media/image1.tiff"/><Relationship Id="rId7" Type="http://schemas.openxmlformats.org/officeDocument/2006/relationships/chart" Target="../charts/chart52.xml"/><Relationship Id="rId12" Type="http://schemas.openxmlformats.org/officeDocument/2006/relationships/chart" Target="../charts/chart57.xml"/><Relationship Id="rId17" Type="http://schemas.openxmlformats.org/officeDocument/2006/relationships/chart" Target="../charts/chart62.xml"/><Relationship Id="rId2" Type="http://schemas.openxmlformats.org/officeDocument/2006/relationships/chart" Target="../charts/chart47.xml"/><Relationship Id="rId16" Type="http://schemas.openxmlformats.org/officeDocument/2006/relationships/chart" Target="../charts/chart61.xml"/><Relationship Id="rId20" Type="http://schemas.openxmlformats.org/officeDocument/2006/relationships/chart" Target="../charts/chart65.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19" Type="http://schemas.openxmlformats.org/officeDocument/2006/relationships/chart" Target="../charts/chart64.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 Id="rId22" Type="http://schemas.openxmlformats.org/officeDocument/2006/relationships/chart" Target="../charts/chart66.xml"/></Relationships>
</file>

<file path=xl/drawings/_rels/drawing3.xml.rels><?xml version="1.0" encoding="UTF-8" standalone="yes"?>
<Relationships xmlns="http://schemas.openxmlformats.org/package/2006/relationships"><Relationship Id="rId117" Type="http://schemas.openxmlformats.org/officeDocument/2006/relationships/chart" Target="../charts/chart182.xml"/><Relationship Id="rId21" Type="http://schemas.openxmlformats.org/officeDocument/2006/relationships/chart" Target="../charts/chart87.xml"/><Relationship Id="rId63" Type="http://schemas.openxmlformats.org/officeDocument/2006/relationships/chart" Target="../charts/chart128.xml"/><Relationship Id="rId159" Type="http://schemas.openxmlformats.org/officeDocument/2006/relationships/chart" Target="../charts/chart224.xml"/><Relationship Id="rId170" Type="http://schemas.openxmlformats.org/officeDocument/2006/relationships/chart" Target="../charts/chart235.xml"/><Relationship Id="rId226" Type="http://schemas.openxmlformats.org/officeDocument/2006/relationships/chart" Target="../charts/chart291.xml"/><Relationship Id="rId268" Type="http://schemas.openxmlformats.org/officeDocument/2006/relationships/chart" Target="../charts/chart333.xml"/><Relationship Id="rId32" Type="http://schemas.openxmlformats.org/officeDocument/2006/relationships/image" Target="../media/image1.tiff"/><Relationship Id="rId74" Type="http://schemas.openxmlformats.org/officeDocument/2006/relationships/chart" Target="../charts/chart139.xml"/><Relationship Id="rId128" Type="http://schemas.openxmlformats.org/officeDocument/2006/relationships/chart" Target="../charts/chart193.xml"/><Relationship Id="rId5" Type="http://schemas.openxmlformats.org/officeDocument/2006/relationships/chart" Target="../charts/chart71.xml"/><Relationship Id="rId181" Type="http://schemas.openxmlformats.org/officeDocument/2006/relationships/chart" Target="../charts/chart246.xml"/><Relationship Id="rId237" Type="http://schemas.openxmlformats.org/officeDocument/2006/relationships/chart" Target="../charts/chart302.xml"/><Relationship Id="rId279" Type="http://schemas.openxmlformats.org/officeDocument/2006/relationships/chart" Target="../charts/chart344.xml"/><Relationship Id="rId43" Type="http://schemas.openxmlformats.org/officeDocument/2006/relationships/chart" Target="../charts/chart108.xml"/><Relationship Id="rId139" Type="http://schemas.openxmlformats.org/officeDocument/2006/relationships/chart" Target="../charts/chart204.xml"/><Relationship Id="rId290" Type="http://schemas.openxmlformats.org/officeDocument/2006/relationships/chart" Target="../charts/chart355.xml"/><Relationship Id="rId85" Type="http://schemas.openxmlformats.org/officeDocument/2006/relationships/chart" Target="../charts/chart150.xml"/><Relationship Id="rId150" Type="http://schemas.openxmlformats.org/officeDocument/2006/relationships/chart" Target="../charts/chart215.xml"/><Relationship Id="rId192" Type="http://schemas.openxmlformats.org/officeDocument/2006/relationships/chart" Target="../charts/chart257.xml"/><Relationship Id="rId206" Type="http://schemas.openxmlformats.org/officeDocument/2006/relationships/chart" Target="../charts/chart271.xml"/><Relationship Id="rId248" Type="http://schemas.openxmlformats.org/officeDocument/2006/relationships/chart" Target="../charts/chart313.xml"/><Relationship Id="rId269" Type="http://schemas.openxmlformats.org/officeDocument/2006/relationships/chart" Target="../charts/chart334.xml"/><Relationship Id="rId12" Type="http://schemas.openxmlformats.org/officeDocument/2006/relationships/chart" Target="../charts/chart78.xml"/><Relationship Id="rId33" Type="http://schemas.openxmlformats.org/officeDocument/2006/relationships/chart" Target="../charts/chart98.xml"/><Relationship Id="rId108" Type="http://schemas.openxmlformats.org/officeDocument/2006/relationships/chart" Target="../charts/chart173.xml"/><Relationship Id="rId129" Type="http://schemas.openxmlformats.org/officeDocument/2006/relationships/chart" Target="../charts/chart194.xml"/><Relationship Id="rId280" Type="http://schemas.openxmlformats.org/officeDocument/2006/relationships/chart" Target="../charts/chart345.xml"/><Relationship Id="rId54" Type="http://schemas.openxmlformats.org/officeDocument/2006/relationships/chart" Target="../charts/chart119.xml"/><Relationship Id="rId75" Type="http://schemas.openxmlformats.org/officeDocument/2006/relationships/chart" Target="../charts/chart140.xml"/><Relationship Id="rId96" Type="http://schemas.openxmlformats.org/officeDocument/2006/relationships/chart" Target="../charts/chart161.xml"/><Relationship Id="rId140" Type="http://schemas.openxmlformats.org/officeDocument/2006/relationships/chart" Target="../charts/chart205.xml"/><Relationship Id="rId161" Type="http://schemas.openxmlformats.org/officeDocument/2006/relationships/chart" Target="../charts/chart226.xml"/><Relationship Id="rId182" Type="http://schemas.openxmlformats.org/officeDocument/2006/relationships/chart" Target="../charts/chart247.xml"/><Relationship Id="rId217" Type="http://schemas.openxmlformats.org/officeDocument/2006/relationships/chart" Target="../charts/chart282.xml"/><Relationship Id="rId6" Type="http://schemas.openxmlformats.org/officeDocument/2006/relationships/chart" Target="../charts/chart72.xml"/><Relationship Id="rId238" Type="http://schemas.openxmlformats.org/officeDocument/2006/relationships/chart" Target="../charts/chart303.xml"/><Relationship Id="rId259" Type="http://schemas.openxmlformats.org/officeDocument/2006/relationships/chart" Target="../charts/chart324.xml"/><Relationship Id="rId23" Type="http://schemas.openxmlformats.org/officeDocument/2006/relationships/chart" Target="../charts/chart89.xml"/><Relationship Id="rId119" Type="http://schemas.openxmlformats.org/officeDocument/2006/relationships/chart" Target="../charts/chart184.xml"/><Relationship Id="rId270" Type="http://schemas.openxmlformats.org/officeDocument/2006/relationships/chart" Target="../charts/chart335.xml"/><Relationship Id="rId44" Type="http://schemas.openxmlformats.org/officeDocument/2006/relationships/chart" Target="../charts/chart109.xml"/><Relationship Id="rId65" Type="http://schemas.openxmlformats.org/officeDocument/2006/relationships/chart" Target="../charts/chart130.xml"/><Relationship Id="rId86" Type="http://schemas.openxmlformats.org/officeDocument/2006/relationships/chart" Target="../charts/chart151.xml"/><Relationship Id="rId130" Type="http://schemas.openxmlformats.org/officeDocument/2006/relationships/chart" Target="../charts/chart195.xml"/><Relationship Id="rId151" Type="http://schemas.openxmlformats.org/officeDocument/2006/relationships/chart" Target="../charts/chart216.xml"/><Relationship Id="rId172" Type="http://schemas.openxmlformats.org/officeDocument/2006/relationships/chart" Target="../charts/chart237.xml"/><Relationship Id="rId193" Type="http://schemas.openxmlformats.org/officeDocument/2006/relationships/chart" Target="../charts/chart258.xml"/><Relationship Id="rId207" Type="http://schemas.openxmlformats.org/officeDocument/2006/relationships/chart" Target="../charts/chart272.xml"/><Relationship Id="rId228" Type="http://schemas.openxmlformats.org/officeDocument/2006/relationships/chart" Target="../charts/chart293.xml"/><Relationship Id="rId249" Type="http://schemas.openxmlformats.org/officeDocument/2006/relationships/chart" Target="../charts/chart314.xml"/><Relationship Id="rId13" Type="http://schemas.openxmlformats.org/officeDocument/2006/relationships/chart" Target="../charts/chart79.xml"/><Relationship Id="rId109" Type="http://schemas.openxmlformats.org/officeDocument/2006/relationships/chart" Target="../charts/chart174.xml"/><Relationship Id="rId260" Type="http://schemas.openxmlformats.org/officeDocument/2006/relationships/chart" Target="../charts/chart325.xml"/><Relationship Id="rId281" Type="http://schemas.openxmlformats.org/officeDocument/2006/relationships/chart" Target="../charts/chart346.xml"/><Relationship Id="rId34" Type="http://schemas.openxmlformats.org/officeDocument/2006/relationships/chart" Target="../charts/chart99.xml"/><Relationship Id="rId55" Type="http://schemas.openxmlformats.org/officeDocument/2006/relationships/chart" Target="../charts/chart120.xml"/><Relationship Id="rId76" Type="http://schemas.openxmlformats.org/officeDocument/2006/relationships/chart" Target="../charts/chart141.xml"/><Relationship Id="rId97" Type="http://schemas.openxmlformats.org/officeDocument/2006/relationships/chart" Target="../charts/chart162.xml"/><Relationship Id="rId120" Type="http://schemas.openxmlformats.org/officeDocument/2006/relationships/chart" Target="../charts/chart185.xml"/><Relationship Id="rId141" Type="http://schemas.openxmlformats.org/officeDocument/2006/relationships/chart" Target="../charts/chart206.xml"/><Relationship Id="rId7" Type="http://schemas.openxmlformats.org/officeDocument/2006/relationships/chart" Target="../charts/chart73.xml"/><Relationship Id="rId162" Type="http://schemas.openxmlformats.org/officeDocument/2006/relationships/chart" Target="../charts/chart227.xml"/><Relationship Id="rId183" Type="http://schemas.openxmlformats.org/officeDocument/2006/relationships/chart" Target="../charts/chart248.xml"/><Relationship Id="rId218" Type="http://schemas.openxmlformats.org/officeDocument/2006/relationships/chart" Target="../charts/chart283.xml"/><Relationship Id="rId239" Type="http://schemas.openxmlformats.org/officeDocument/2006/relationships/chart" Target="../charts/chart304.xml"/><Relationship Id="rId250" Type="http://schemas.openxmlformats.org/officeDocument/2006/relationships/chart" Target="../charts/chart315.xml"/><Relationship Id="rId271" Type="http://schemas.openxmlformats.org/officeDocument/2006/relationships/chart" Target="../charts/chart336.xml"/><Relationship Id="rId24" Type="http://schemas.openxmlformats.org/officeDocument/2006/relationships/chart" Target="../charts/chart90.xml"/><Relationship Id="rId45" Type="http://schemas.openxmlformats.org/officeDocument/2006/relationships/chart" Target="../charts/chart110.xml"/><Relationship Id="rId66" Type="http://schemas.openxmlformats.org/officeDocument/2006/relationships/chart" Target="../charts/chart131.xml"/><Relationship Id="rId87" Type="http://schemas.openxmlformats.org/officeDocument/2006/relationships/chart" Target="../charts/chart152.xml"/><Relationship Id="rId110" Type="http://schemas.openxmlformats.org/officeDocument/2006/relationships/chart" Target="../charts/chart175.xml"/><Relationship Id="rId131" Type="http://schemas.openxmlformats.org/officeDocument/2006/relationships/chart" Target="../charts/chart196.xml"/><Relationship Id="rId152" Type="http://schemas.openxmlformats.org/officeDocument/2006/relationships/chart" Target="../charts/chart217.xml"/><Relationship Id="rId173" Type="http://schemas.openxmlformats.org/officeDocument/2006/relationships/chart" Target="../charts/chart238.xml"/><Relationship Id="rId194" Type="http://schemas.openxmlformats.org/officeDocument/2006/relationships/chart" Target="../charts/chart259.xml"/><Relationship Id="rId208" Type="http://schemas.openxmlformats.org/officeDocument/2006/relationships/chart" Target="../charts/chart273.xml"/><Relationship Id="rId229" Type="http://schemas.openxmlformats.org/officeDocument/2006/relationships/chart" Target="../charts/chart294.xml"/><Relationship Id="rId240" Type="http://schemas.openxmlformats.org/officeDocument/2006/relationships/chart" Target="../charts/chart305.xml"/><Relationship Id="rId261" Type="http://schemas.openxmlformats.org/officeDocument/2006/relationships/chart" Target="../charts/chart326.xml"/><Relationship Id="rId14" Type="http://schemas.openxmlformats.org/officeDocument/2006/relationships/chart" Target="../charts/chart80.xml"/><Relationship Id="rId35" Type="http://schemas.openxmlformats.org/officeDocument/2006/relationships/chart" Target="../charts/chart100.xml"/><Relationship Id="rId56" Type="http://schemas.openxmlformats.org/officeDocument/2006/relationships/chart" Target="../charts/chart121.xml"/><Relationship Id="rId77" Type="http://schemas.openxmlformats.org/officeDocument/2006/relationships/chart" Target="../charts/chart142.xml"/><Relationship Id="rId100" Type="http://schemas.openxmlformats.org/officeDocument/2006/relationships/chart" Target="../charts/chart165.xml"/><Relationship Id="rId282" Type="http://schemas.openxmlformats.org/officeDocument/2006/relationships/chart" Target="../charts/chart347.xml"/><Relationship Id="rId8" Type="http://schemas.openxmlformats.org/officeDocument/2006/relationships/chart" Target="../charts/chart74.xml"/><Relationship Id="rId98" Type="http://schemas.openxmlformats.org/officeDocument/2006/relationships/chart" Target="../charts/chart163.xml"/><Relationship Id="rId121" Type="http://schemas.openxmlformats.org/officeDocument/2006/relationships/chart" Target="../charts/chart186.xml"/><Relationship Id="rId142" Type="http://schemas.openxmlformats.org/officeDocument/2006/relationships/chart" Target="../charts/chart207.xml"/><Relationship Id="rId163" Type="http://schemas.openxmlformats.org/officeDocument/2006/relationships/chart" Target="../charts/chart228.xml"/><Relationship Id="rId184" Type="http://schemas.openxmlformats.org/officeDocument/2006/relationships/chart" Target="../charts/chart249.xml"/><Relationship Id="rId219" Type="http://schemas.openxmlformats.org/officeDocument/2006/relationships/chart" Target="../charts/chart284.xml"/><Relationship Id="rId230" Type="http://schemas.openxmlformats.org/officeDocument/2006/relationships/chart" Target="../charts/chart295.xml"/><Relationship Id="rId251" Type="http://schemas.openxmlformats.org/officeDocument/2006/relationships/chart" Target="../charts/chart316.xml"/><Relationship Id="rId25" Type="http://schemas.openxmlformats.org/officeDocument/2006/relationships/chart" Target="../charts/chart91.xml"/><Relationship Id="rId46" Type="http://schemas.openxmlformats.org/officeDocument/2006/relationships/chart" Target="../charts/chart111.xml"/><Relationship Id="rId67" Type="http://schemas.openxmlformats.org/officeDocument/2006/relationships/chart" Target="../charts/chart132.xml"/><Relationship Id="rId272" Type="http://schemas.openxmlformats.org/officeDocument/2006/relationships/chart" Target="../charts/chart337.xml"/><Relationship Id="rId88" Type="http://schemas.openxmlformats.org/officeDocument/2006/relationships/chart" Target="../charts/chart153.xml"/><Relationship Id="rId111" Type="http://schemas.openxmlformats.org/officeDocument/2006/relationships/chart" Target="../charts/chart176.xml"/><Relationship Id="rId132" Type="http://schemas.openxmlformats.org/officeDocument/2006/relationships/chart" Target="../charts/chart197.xml"/><Relationship Id="rId153" Type="http://schemas.openxmlformats.org/officeDocument/2006/relationships/chart" Target="../charts/chart218.xml"/><Relationship Id="rId174" Type="http://schemas.openxmlformats.org/officeDocument/2006/relationships/chart" Target="../charts/chart239.xml"/><Relationship Id="rId195" Type="http://schemas.openxmlformats.org/officeDocument/2006/relationships/chart" Target="../charts/chart260.xml"/><Relationship Id="rId209" Type="http://schemas.openxmlformats.org/officeDocument/2006/relationships/chart" Target="../charts/chart274.xml"/><Relationship Id="rId220" Type="http://schemas.openxmlformats.org/officeDocument/2006/relationships/chart" Target="../charts/chart285.xml"/><Relationship Id="rId241" Type="http://schemas.openxmlformats.org/officeDocument/2006/relationships/chart" Target="../charts/chart306.xml"/><Relationship Id="rId15" Type="http://schemas.openxmlformats.org/officeDocument/2006/relationships/chart" Target="../charts/chart81.xml"/><Relationship Id="rId36" Type="http://schemas.openxmlformats.org/officeDocument/2006/relationships/chart" Target="../charts/chart101.xml"/><Relationship Id="rId57" Type="http://schemas.openxmlformats.org/officeDocument/2006/relationships/chart" Target="../charts/chart122.xml"/><Relationship Id="rId262" Type="http://schemas.openxmlformats.org/officeDocument/2006/relationships/chart" Target="../charts/chart327.xml"/><Relationship Id="rId283" Type="http://schemas.openxmlformats.org/officeDocument/2006/relationships/chart" Target="../charts/chart348.xml"/><Relationship Id="rId78" Type="http://schemas.openxmlformats.org/officeDocument/2006/relationships/chart" Target="../charts/chart143.xml"/><Relationship Id="rId99" Type="http://schemas.openxmlformats.org/officeDocument/2006/relationships/chart" Target="../charts/chart164.xml"/><Relationship Id="rId101" Type="http://schemas.openxmlformats.org/officeDocument/2006/relationships/chart" Target="../charts/chart166.xml"/><Relationship Id="rId122" Type="http://schemas.openxmlformats.org/officeDocument/2006/relationships/chart" Target="../charts/chart187.xml"/><Relationship Id="rId143" Type="http://schemas.openxmlformats.org/officeDocument/2006/relationships/chart" Target="../charts/chart208.xml"/><Relationship Id="rId164" Type="http://schemas.openxmlformats.org/officeDocument/2006/relationships/chart" Target="../charts/chart229.xml"/><Relationship Id="rId185" Type="http://schemas.openxmlformats.org/officeDocument/2006/relationships/chart" Target="../charts/chart250.xml"/><Relationship Id="rId9" Type="http://schemas.openxmlformats.org/officeDocument/2006/relationships/chart" Target="../charts/chart75.xml"/><Relationship Id="rId210" Type="http://schemas.openxmlformats.org/officeDocument/2006/relationships/chart" Target="../charts/chart275.xml"/><Relationship Id="rId26" Type="http://schemas.openxmlformats.org/officeDocument/2006/relationships/chart" Target="../charts/chart92.xml"/><Relationship Id="rId231" Type="http://schemas.openxmlformats.org/officeDocument/2006/relationships/chart" Target="../charts/chart296.xml"/><Relationship Id="rId252" Type="http://schemas.openxmlformats.org/officeDocument/2006/relationships/chart" Target="../charts/chart317.xml"/><Relationship Id="rId273" Type="http://schemas.openxmlformats.org/officeDocument/2006/relationships/chart" Target="../charts/chart338.xml"/><Relationship Id="rId47" Type="http://schemas.openxmlformats.org/officeDocument/2006/relationships/chart" Target="../charts/chart112.xml"/><Relationship Id="rId68" Type="http://schemas.openxmlformats.org/officeDocument/2006/relationships/chart" Target="../charts/chart133.xml"/><Relationship Id="rId89" Type="http://schemas.openxmlformats.org/officeDocument/2006/relationships/chart" Target="../charts/chart154.xml"/><Relationship Id="rId112" Type="http://schemas.openxmlformats.org/officeDocument/2006/relationships/chart" Target="../charts/chart177.xml"/><Relationship Id="rId133" Type="http://schemas.openxmlformats.org/officeDocument/2006/relationships/chart" Target="../charts/chart198.xml"/><Relationship Id="rId154" Type="http://schemas.openxmlformats.org/officeDocument/2006/relationships/chart" Target="../charts/chart219.xml"/><Relationship Id="rId175" Type="http://schemas.openxmlformats.org/officeDocument/2006/relationships/chart" Target="../charts/chart240.xml"/><Relationship Id="rId196" Type="http://schemas.openxmlformats.org/officeDocument/2006/relationships/chart" Target="../charts/chart261.xml"/><Relationship Id="rId200" Type="http://schemas.openxmlformats.org/officeDocument/2006/relationships/chart" Target="../charts/chart265.xml"/><Relationship Id="rId16" Type="http://schemas.openxmlformats.org/officeDocument/2006/relationships/chart" Target="../charts/chart82.xml"/><Relationship Id="rId221" Type="http://schemas.openxmlformats.org/officeDocument/2006/relationships/chart" Target="../charts/chart286.xml"/><Relationship Id="rId242" Type="http://schemas.openxmlformats.org/officeDocument/2006/relationships/chart" Target="../charts/chart307.xml"/><Relationship Id="rId263" Type="http://schemas.openxmlformats.org/officeDocument/2006/relationships/chart" Target="../charts/chart328.xml"/><Relationship Id="rId284" Type="http://schemas.openxmlformats.org/officeDocument/2006/relationships/chart" Target="../charts/chart349.xml"/><Relationship Id="rId37" Type="http://schemas.openxmlformats.org/officeDocument/2006/relationships/chart" Target="../charts/chart102.xml"/><Relationship Id="rId58" Type="http://schemas.openxmlformats.org/officeDocument/2006/relationships/chart" Target="../charts/chart123.xml"/><Relationship Id="rId79" Type="http://schemas.openxmlformats.org/officeDocument/2006/relationships/chart" Target="../charts/chart144.xml"/><Relationship Id="rId102" Type="http://schemas.openxmlformats.org/officeDocument/2006/relationships/chart" Target="../charts/chart167.xml"/><Relationship Id="rId123" Type="http://schemas.openxmlformats.org/officeDocument/2006/relationships/chart" Target="../charts/chart188.xml"/><Relationship Id="rId144" Type="http://schemas.openxmlformats.org/officeDocument/2006/relationships/chart" Target="../charts/chart209.xml"/><Relationship Id="rId90" Type="http://schemas.openxmlformats.org/officeDocument/2006/relationships/chart" Target="../charts/chart155.xml"/><Relationship Id="rId165" Type="http://schemas.openxmlformats.org/officeDocument/2006/relationships/chart" Target="../charts/chart230.xml"/><Relationship Id="rId186" Type="http://schemas.openxmlformats.org/officeDocument/2006/relationships/chart" Target="../charts/chart251.xml"/><Relationship Id="rId211" Type="http://schemas.openxmlformats.org/officeDocument/2006/relationships/chart" Target="../charts/chart276.xml"/><Relationship Id="rId232" Type="http://schemas.openxmlformats.org/officeDocument/2006/relationships/chart" Target="../charts/chart297.xml"/><Relationship Id="rId253" Type="http://schemas.openxmlformats.org/officeDocument/2006/relationships/chart" Target="../charts/chart318.xml"/><Relationship Id="rId274" Type="http://schemas.openxmlformats.org/officeDocument/2006/relationships/chart" Target="../charts/chart339.xml"/><Relationship Id="rId27" Type="http://schemas.openxmlformats.org/officeDocument/2006/relationships/chart" Target="../charts/chart93.xml"/><Relationship Id="rId48" Type="http://schemas.openxmlformats.org/officeDocument/2006/relationships/chart" Target="../charts/chart113.xml"/><Relationship Id="rId69" Type="http://schemas.openxmlformats.org/officeDocument/2006/relationships/chart" Target="../charts/chart134.xml"/><Relationship Id="rId113" Type="http://schemas.openxmlformats.org/officeDocument/2006/relationships/chart" Target="../charts/chart178.xml"/><Relationship Id="rId134" Type="http://schemas.openxmlformats.org/officeDocument/2006/relationships/chart" Target="../charts/chart199.xml"/><Relationship Id="rId80" Type="http://schemas.openxmlformats.org/officeDocument/2006/relationships/chart" Target="../charts/chart145.xml"/><Relationship Id="rId155" Type="http://schemas.openxmlformats.org/officeDocument/2006/relationships/chart" Target="../charts/chart220.xml"/><Relationship Id="rId176" Type="http://schemas.openxmlformats.org/officeDocument/2006/relationships/chart" Target="../charts/chart241.xml"/><Relationship Id="rId197" Type="http://schemas.openxmlformats.org/officeDocument/2006/relationships/chart" Target="../charts/chart262.xml"/><Relationship Id="rId201" Type="http://schemas.openxmlformats.org/officeDocument/2006/relationships/chart" Target="../charts/chart266.xml"/><Relationship Id="rId222" Type="http://schemas.openxmlformats.org/officeDocument/2006/relationships/chart" Target="../charts/chart287.xml"/><Relationship Id="rId243" Type="http://schemas.openxmlformats.org/officeDocument/2006/relationships/chart" Target="../charts/chart308.xml"/><Relationship Id="rId264" Type="http://schemas.openxmlformats.org/officeDocument/2006/relationships/chart" Target="../charts/chart329.xml"/><Relationship Id="rId285" Type="http://schemas.openxmlformats.org/officeDocument/2006/relationships/chart" Target="../charts/chart350.xml"/><Relationship Id="rId17" Type="http://schemas.openxmlformats.org/officeDocument/2006/relationships/chart" Target="../charts/chart83.xml"/><Relationship Id="rId38" Type="http://schemas.openxmlformats.org/officeDocument/2006/relationships/chart" Target="../charts/chart103.xml"/><Relationship Id="rId59" Type="http://schemas.openxmlformats.org/officeDocument/2006/relationships/chart" Target="../charts/chart124.xml"/><Relationship Id="rId103" Type="http://schemas.openxmlformats.org/officeDocument/2006/relationships/chart" Target="../charts/chart168.xml"/><Relationship Id="rId124" Type="http://schemas.openxmlformats.org/officeDocument/2006/relationships/chart" Target="../charts/chart189.xml"/><Relationship Id="rId70" Type="http://schemas.openxmlformats.org/officeDocument/2006/relationships/chart" Target="../charts/chart135.xml"/><Relationship Id="rId91" Type="http://schemas.openxmlformats.org/officeDocument/2006/relationships/chart" Target="../charts/chart156.xml"/><Relationship Id="rId145" Type="http://schemas.openxmlformats.org/officeDocument/2006/relationships/chart" Target="../charts/chart210.xml"/><Relationship Id="rId166" Type="http://schemas.openxmlformats.org/officeDocument/2006/relationships/chart" Target="../charts/chart231.xml"/><Relationship Id="rId187" Type="http://schemas.openxmlformats.org/officeDocument/2006/relationships/chart" Target="../charts/chart252.xml"/><Relationship Id="rId1" Type="http://schemas.openxmlformats.org/officeDocument/2006/relationships/chart" Target="../charts/chart67.xml"/><Relationship Id="rId212" Type="http://schemas.openxmlformats.org/officeDocument/2006/relationships/chart" Target="../charts/chart277.xml"/><Relationship Id="rId233" Type="http://schemas.openxmlformats.org/officeDocument/2006/relationships/chart" Target="../charts/chart298.xml"/><Relationship Id="rId254" Type="http://schemas.openxmlformats.org/officeDocument/2006/relationships/chart" Target="../charts/chart319.xml"/><Relationship Id="rId28" Type="http://schemas.openxmlformats.org/officeDocument/2006/relationships/chart" Target="../charts/chart94.xml"/><Relationship Id="rId49" Type="http://schemas.openxmlformats.org/officeDocument/2006/relationships/chart" Target="../charts/chart114.xml"/><Relationship Id="rId114" Type="http://schemas.openxmlformats.org/officeDocument/2006/relationships/chart" Target="../charts/chart179.xml"/><Relationship Id="rId275" Type="http://schemas.openxmlformats.org/officeDocument/2006/relationships/chart" Target="../charts/chart340.xml"/><Relationship Id="rId60" Type="http://schemas.openxmlformats.org/officeDocument/2006/relationships/chart" Target="../charts/chart125.xml"/><Relationship Id="rId81" Type="http://schemas.openxmlformats.org/officeDocument/2006/relationships/chart" Target="../charts/chart146.xml"/><Relationship Id="rId135" Type="http://schemas.openxmlformats.org/officeDocument/2006/relationships/chart" Target="../charts/chart200.xml"/><Relationship Id="rId156" Type="http://schemas.openxmlformats.org/officeDocument/2006/relationships/chart" Target="../charts/chart221.xml"/><Relationship Id="rId177" Type="http://schemas.openxmlformats.org/officeDocument/2006/relationships/chart" Target="../charts/chart242.xml"/><Relationship Id="rId198" Type="http://schemas.openxmlformats.org/officeDocument/2006/relationships/chart" Target="../charts/chart263.xml"/><Relationship Id="rId202" Type="http://schemas.openxmlformats.org/officeDocument/2006/relationships/chart" Target="../charts/chart267.xml"/><Relationship Id="rId223" Type="http://schemas.openxmlformats.org/officeDocument/2006/relationships/chart" Target="../charts/chart288.xml"/><Relationship Id="rId244" Type="http://schemas.openxmlformats.org/officeDocument/2006/relationships/chart" Target="../charts/chart309.xml"/><Relationship Id="rId18" Type="http://schemas.openxmlformats.org/officeDocument/2006/relationships/chart" Target="../charts/chart84.xml"/><Relationship Id="rId39" Type="http://schemas.openxmlformats.org/officeDocument/2006/relationships/chart" Target="../charts/chart104.xml"/><Relationship Id="rId265" Type="http://schemas.openxmlformats.org/officeDocument/2006/relationships/chart" Target="../charts/chart330.xml"/><Relationship Id="rId286" Type="http://schemas.openxmlformats.org/officeDocument/2006/relationships/chart" Target="../charts/chart351.xml"/><Relationship Id="rId50" Type="http://schemas.openxmlformats.org/officeDocument/2006/relationships/chart" Target="../charts/chart115.xml"/><Relationship Id="rId104" Type="http://schemas.openxmlformats.org/officeDocument/2006/relationships/chart" Target="../charts/chart169.xml"/><Relationship Id="rId125" Type="http://schemas.openxmlformats.org/officeDocument/2006/relationships/chart" Target="../charts/chart190.xml"/><Relationship Id="rId146" Type="http://schemas.openxmlformats.org/officeDocument/2006/relationships/chart" Target="../charts/chart211.xml"/><Relationship Id="rId167" Type="http://schemas.openxmlformats.org/officeDocument/2006/relationships/chart" Target="../charts/chart232.xml"/><Relationship Id="rId188" Type="http://schemas.openxmlformats.org/officeDocument/2006/relationships/chart" Target="../charts/chart253.xml"/><Relationship Id="rId71" Type="http://schemas.openxmlformats.org/officeDocument/2006/relationships/chart" Target="../charts/chart136.xml"/><Relationship Id="rId92" Type="http://schemas.openxmlformats.org/officeDocument/2006/relationships/chart" Target="../charts/chart157.xml"/><Relationship Id="rId213" Type="http://schemas.openxmlformats.org/officeDocument/2006/relationships/chart" Target="../charts/chart278.xml"/><Relationship Id="rId234" Type="http://schemas.openxmlformats.org/officeDocument/2006/relationships/chart" Target="../charts/chart299.xml"/><Relationship Id="rId2" Type="http://schemas.openxmlformats.org/officeDocument/2006/relationships/chart" Target="../charts/chart68.xml"/><Relationship Id="rId29" Type="http://schemas.openxmlformats.org/officeDocument/2006/relationships/chart" Target="../charts/chart95.xml"/><Relationship Id="rId255" Type="http://schemas.openxmlformats.org/officeDocument/2006/relationships/chart" Target="../charts/chart320.xml"/><Relationship Id="rId276" Type="http://schemas.openxmlformats.org/officeDocument/2006/relationships/chart" Target="../charts/chart341.xml"/><Relationship Id="rId40" Type="http://schemas.openxmlformats.org/officeDocument/2006/relationships/chart" Target="../charts/chart105.xml"/><Relationship Id="rId115" Type="http://schemas.openxmlformats.org/officeDocument/2006/relationships/chart" Target="../charts/chart180.xml"/><Relationship Id="rId136" Type="http://schemas.openxmlformats.org/officeDocument/2006/relationships/chart" Target="../charts/chart201.xml"/><Relationship Id="rId157" Type="http://schemas.openxmlformats.org/officeDocument/2006/relationships/chart" Target="../charts/chart222.xml"/><Relationship Id="rId178" Type="http://schemas.openxmlformats.org/officeDocument/2006/relationships/chart" Target="../charts/chart243.xml"/><Relationship Id="rId61" Type="http://schemas.openxmlformats.org/officeDocument/2006/relationships/chart" Target="../charts/chart126.xml"/><Relationship Id="rId82" Type="http://schemas.openxmlformats.org/officeDocument/2006/relationships/chart" Target="../charts/chart147.xml"/><Relationship Id="rId199" Type="http://schemas.openxmlformats.org/officeDocument/2006/relationships/chart" Target="../charts/chart264.xml"/><Relationship Id="rId203" Type="http://schemas.openxmlformats.org/officeDocument/2006/relationships/chart" Target="../charts/chart268.xml"/><Relationship Id="rId19" Type="http://schemas.openxmlformats.org/officeDocument/2006/relationships/chart" Target="../charts/chart85.xml"/><Relationship Id="rId224" Type="http://schemas.openxmlformats.org/officeDocument/2006/relationships/chart" Target="../charts/chart289.xml"/><Relationship Id="rId245" Type="http://schemas.openxmlformats.org/officeDocument/2006/relationships/chart" Target="../charts/chart310.xml"/><Relationship Id="rId266" Type="http://schemas.openxmlformats.org/officeDocument/2006/relationships/chart" Target="../charts/chart331.xml"/><Relationship Id="rId287" Type="http://schemas.openxmlformats.org/officeDocument/2006/relationships/chart" Target="../charts/chart352.xml"/><Relationship Id="rId30" Type="http://schemas.openxmlformats.org/officeDocument/2006/relationships/chart" Target="../charts/chart96.xml"/><Relationship Id="rId105" Type="http://schemas.openxmlformats.org/officeDocument/2006/relationships/chart" Target="../charts/chart170.xml"/><Relationship Id="rId126" Type="http://schemas.openxmlformats.org/officeDocument/2006/relationships/chart" Target="../charts/chart191.xml"/><Relationship Id="rId147" Type="http://schemas.openxmlformats.org/officeDocument/2006/relationships/chart" Target="../charts/chart212.xml"/><Relationship Id="rId168" Type="http://schemas.openxmlformats.org/officeDocument/2006/relationships/chart" Target="../charts/chart233.xml"/><Relationship Id="rId51" Type="http://schemas.openxmlformats.org/officeDocument/2006/relationships/chart" Target="../charts/chart116.xml"/><Relationship Id="rId72" Type="http://schemas.openxmlformats.org/officeDocument/2006/relationships/chart" Target="../charts/chart137.xml"/><Relationship Id="rId93" Type="http://schemas.openxmlformats.org/officeDocument/2006/relationships/chart" Target="../charts/chart158.xml"/><Relationship Id="rId189" Type="http://schemas.openxmlformats.org/officeDocument/2006/relationships/chart" Target="../charts/chart254.xml"/><Relationship Id="rId3" Type="http://schemas.openxmlformats.org/officeDocument/2006/relationships/chart" Target="../charts/chart69.xml"/><Relationship Id="rId214" Type="http://schemas.openxmlformats.org/officeDocument/2006/relationships/chart" Target="../charts/chart279.xml"/><Relationship Id="rId235" Type="http://schemas.openxmlformats.org/officeDocument/2006/relationships/chart" Target="../charts/chart300.xml"/><Relationship Id="rId256" Type="http://schemas.openxmlformats.org/officeDocument/2006/relationships/chart" Target="../charts/chart321.xml"/><Relationship Id="rId277" Type="http://schemas.openxmlformats.org/officeDocument/2006/relationships/chart" Target="../charts/chart342.xml"/><Relationship Id="rId116" Type="http://schemas.openxmlformats.org/officeDocument/2006/relationships/chart" Target="../charts/chart181.xml"/><Relationship Id="rId137" Type="http://schemas.openxmlformats.org/officeDocument/2006/relationships/chart" Target="../charts/chart202.xml"/><Relationship Id="rId158" Type="http://schemas.openxmlformats.org/officeDocument/2006/relationships/chart" Target="../charts/chart223.xml"/><Relationship Id="rId20" Type="http://schemas.openxmlformats.org/officeDocument/2006/relationships/chart" Target="../charts/chart86.xml"/><Relationship Id="rId41" Type="http://schemas.openxmlformats.org/officeDocument/2006/relationships/chart" Target="../charts/chart106.xml"/><Relationship Id="rId62" Type="http://schemas.openxmlformats.org/officeDocument/2006/relationships/chart" Target="../charts/chart127.xml"/><Relationship Id="rId83" Type="http://schemas.openxmlformats.org/officeDocument/2006/relationships/chart" Target="../charts/chart148.xml"/><Relationship Id="rId179" Type="http://schemas.openxmlformats.org/officeDocument/2006/relationships/chart" Target="../charts/chart244.xml"/><Relationship Id="rId190" Type="http://schemas.openxmlformats.org/officeDocument/2006/relationships/chart" Target="../charts/chart255.xml"/><Relationship Id="rId204" Type="http://schemas.openxmlformats.org/officeDocument/2006/relationships/chart" Target="../charts/chart269.xml"/><Relationship Id="rId225" Type="http://schemas.openxmlformats.org/officeDocument/2006/relationships/chart" Target="../charts/chart290.xml"/><Relationship Id="rId246" Type="http://schemas.openxmlformats.org/officeDocument/2006/relationships/chart" Target="../charts/chart311.xml"/><Relationship Id="rId267" Type="http://schemas.openxmlformats.org/officeDocument/2006/relationships/chart" Target="../charts/chart332.xml"/><Relationship Id="rId288" Type="http://schemas.openxmlformats.org/officeDocument/2006/relationships/chart" Target="../charts/chart353.xml"/><Relationship Id="rId106" Type="http://schemas.openxmlformats.org/officeDocument/2006/relationships/chart" Target="../charts/chart171.xml"/><Relationship Id="rId127" Type="http://schemas.openxmlformats.org/officeDocument/2006/relationships/chart" Target="../charts/chart192.xml"/><Relationship Id="rId10" Type="http://schemas.openxmlformats.org/officeDocument/2006/relationships/chart" Target="../charts/chart76.xml"/><Relationship Id="rId31" Type="http://schemas.openxmlformats.org/officeDocument/2006/relationships/chart" Target="../charts/chart97.xml"/><Relationship Id="rId52" Type="http://schemas.openxmlformats.org/officeDocument/2006/relationships/chart" Target="../charts/chart117.xml"/><Relationship Id="rId73" Type="http://schemas.openxmlformats.org/officeDocument/2006/relationships/chart" Target="../charts/chart138.xml"/><Relationship Id="rId94" Type="http://schemas.openxmlformats.org/officeDocument/2006/relationships/chart" Target="../charts/chart159.xml"/><Relationship Id="rId148" Type="http://schemas.openxmlformats.org/officeDocument/2006/relationships/chart" Target="../charts/chart213.xml"/><Relationship Id="rId169" Type="http://schemas.openxmlformats.org/officeDocument/2006/relationships/chart" Target="../charts/chart234.xml"/><Relationship Id="rId4" Type="http://schemas.openxmlformats.org/officeDocument/2006/relationships/chart" Target="../charts/chart70.xml"/><Relationship Id="rId180" Type="http://schemas.openxmlformats.org/officeDocument/2006/relationships/chart" Target="../charts/chart245.xml"/><Relationship Id="rId215" Type="http://schemas.openxmlformats.org/officeDocument/2006/relationships/chart" Target="../charts/chart280.xml"/><Relationship Id="rId236" Type="http://schemas.openxmlformats.org/officeDocument/2006/relationships/chart" Target="../charts/chart301.xml"/><Relationship Id="rId257" Type="http://schemas.openxmlformats.org/officeDocument/2006/relationships/chart" Target="../charts/chart322.xml"/><Relationship Id="rId278" Type="http://schemas.openxmlformats.org/officeDocument/2006/relationships/chart" Target="../charts/chart343.xml"/><Relationship Id="rId42" Type="http://schemas.openxmlformats.org/officeDocument/2006/relationships/chart" Target="../charts/chart107.xml"/><Relationship Id="rId84" Type="http://schemas.openxmlformats.org/officeDocument/2006/relationships/chart" Target="../charts/chart149.xml"/><Relationship Id="rId138" Type="http://schemas.openxmlformats.org/officeDocument/2006/relationships/chart" Target="../charts/chart203.xml"/><Relationship Id="rId191" Type="http://schemas.openxmlformats.org/officeDocument/2006/relationships/chart" Target="../charts/chart256.xml"/><Relationship Id="rId205" Type="http://schemas.openxmlformats.org/officeDocument/2006/relationships/chart" Target="../charts/chart270.xml"/><Relationship Id="rId247" Type="http://schemas.openxmlformats.org/officeDocument/2006/relationships/chart" Target="../charts/chart312.xml"/><Relationship Id="rId107" Type="http://schemas.openxmlformats.org/officeDocument/2006/relationships/chart" Target="../charts/chart172.xml"/><Relationship Id="rId289" Type="http://schemas.openxmlformats.org/officeDocument/2006/relationships/chart" Target="../charts/chart354.xml"/><Relationship Id="rId11" Type="http://schemas.openxmlformats.org/officeDocument/2006/relationships/chart" Target="../charts/chart77.xml"/><Relationship Id="rId53" Type="http://schemas.openxmlformats.org/officeDocument/2006/relationships/chart" Target="../charts/chart118.xml"/><Relationship Id="rId149" Type="http://schemas.openxmlformats.org/officeDocument/2006/relationships/chart" Target="../charts/chart214.xml"/><Relationship Id="rId95" Type="http://schemas.openxmlformats.org/officeDocument/2006/relationships/chart" Target="../charts/chart160.xml"/><Relationship Id="rId160" Type="http://schemas.openxmlformats.org/officeDocument/2006/relationships/chart" Target="../charts/chart225.xml"/><Relationship Id="rId216" Type="http://schemas.openxmlformats.org/officeDocument/2006/relationships/chart" Target="../charts/chart281.xml"/><Relationship Id="rId258" Type="http://schemas.openxmlformats.org/officeDocument/2006/relationships/chart" Target="../charts/chart323.xml"/><Relationship Id="rId22" Type="http://schemas.openxmlformats.org/officeDocument/2006/relationships/chart" Target="../charts/chart88.xml"/><Relationship Id="rId64" Type="http://schemas.openxmlformats.org/officeDocument/2006/relationships/chart" Target="../charts/chart129.xml"/><Relationship Id="rId118" Type="http://schemas.openxmlformats.org/officeDocument/2006/relationships/chart" Target="../charts/chart183.xml"/><Relationship Id="rId171" Type="http://schemas.openxmlformats.org/officeDocument/2006/relationships/chart" Target="../charts/chart236.xml"/><Relationship Id="rId227" Type="http://schemas.openxmlformats.org/officeDocument/2006/relationships/chart" Target="../charts/chart29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58.xml"/><Relationship Id="rId2" Type="http://schemas.openxmlformats.org/officeDocument/2006/relationships/chart" Target="../charts/chart357.xml"/><Relationship Id="rId1" Type="http://schemas.openxmlformats.org/officeDocument/2006/relationships/chart" Target="../charts/chart35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61.xml"/><Relationship Id="rId2" Type="http://schemas.openxmlformats.org/officeDocument/2006/relationships/chart" Target="../charts/chart360.xml"/><Relationship Id="rId1" Type="http://schemas.openxmlformats.org/officeDocument/2006/relationships/chart" Target="../charts/chart359.xml"/><Relationship Id="rId4" Type="http://schemas.openxmlformats.org/officeDocument/2006/relationships/chart" Target="../charts/chart362.xml"/></Relationships>
</file>

<file path=xl/drawings/drawing1.xml><?xml version="1.0" encoding="utf-8"?>
<xdr:wsDr xmlns:xdr="http://schemas.openxmlformats.org/drawingml/2006/spreadsheetDrawing" xmlns:a="http://schemas.openxmlformats.org/drawingml/2006/main">
  <xdr:twoCellAnchor>
    <xdr:from>
      <xdr:col>7</xdr:col>
      <xdr:colOff>258534</xdr:colOff>
      <xdr:row>122</xdr:row>
      <xdr:rowOff>122466</xdr:rowOff>
    </xdr:from>
    <xdr:to>
      <xdr:col>17</xdr:col>
      <xdr:colOff>158750</xdr:colOff>
      <xdr:row>139</xdr:row>
      <xdr:rowOff>27214</xdr:rowOff>
    </xdr:to>
    <xdr:graphicFrame macro="">
      <xdr:nvGraphicFramePr>
        <xdr:cNvPr id="17" name="Gráfico 16">
          <a:extLst>
            <a:ext uri="{FF2B5EF4-FFF2-40B4-BE49-F238E27FC236}">
              <a16:creationId xmlns:a16="http://schemas.microsoft.com/office/drawing/2014/main" id="{CF2B1144-9F20-4078-AEE8-508507AA8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401796</xdr:colOff>
      <xdr:row>5</xdr:row>
      <xdr:rowOff>115172</xdr:rowOff>
    </xdr:from>
    <xdr:to>
      <xdr:col>30</xdr:col>
      <xdr:colOff>19050</xdr:colOff>
      <xdr:row>22</xdr:row>
      <xdr:rowOff>171449</xdr:rowOff>
    </xdr:to>
    <xdr:graphicFrame macro="">
      <xdr:nvGraphicFramePr>
        <xdr:cNvPr id="18" name="Gráfico 17">
          <a:extLst>
            <a:ext uri="{FF2B5EF4-FFF2-40B4-BE49-F238E27FC236}">
              <a16:creationId xmlns:a16="http://schemas.microsoft.com/office/drawing/2014/main" id="{2D5C45C2-DBA5-4C37-8F8D-B784BE9A71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381000</xdr:colOff>
      <xdr:row>24</xdr:row>
      <xdr:rowOff>186419</xdr:rowOff>
    </xdr:from>
    <xdr:to>
      <xdr:col>30</xdr:col>
      <xdr:colOff>57150</xdr:colOff>
      <xdr:row>40</xdr:row>
      <xdr:rowOff>19051</xdr:rowOff>
    </xdr:to>
    <xdr:graphicFrame macro="">
      <xdr:nvGraphicFramePr>
        <xdr:cNvPr id="23" name="Gráfico 22">
          <a:extLst>
            <a:ext uri="{FF2B5EF4-FFF2-40B4-BE49-F238E27FC236}">
              <a16:creationId xmlns:a16="http://schemas.microsoft.com/office/drawing/2014/main" id="{4DBB0A24-FD2A-48CB-AC89-59678A35A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394608</xdr:colOff>
      <xdr:row>42</xdr:row>
      <xdr:rowOff>39460</xdr:rowOff>
    </xdr:from>
    <xdr:to>
      <xdr:col>30</xdr:col>
      <xdr:colOff>-1</xdr:colOff>
      <xdr:row>59</xdr:row>
      <xdr:rowOff>95250</xdr:rowOff>
    </xdr:to>
    <xdr:graphicFrame macro="">
      <xdr:nvGraphicFramePr>
        <xdr:cNvPr id="25" name="Gráfico 24">
          <a:extLst>
            <a:ext uri="{FF2B5EF4-FFF2-40B4-BE49-F238E27FC236}">
              <a16:creationId xmlns:a16="http://schemas.microsoft.com/office/drawing/2014/main" id="{740A8E1A-B39D-489D-BC0A-CA2EF94DF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408215</xdr:colOff>
      <xdr:row>60</xdr:row>
      <xdr:rowOff>186418</xdr:rowOff>
    </xdr:from>
    <xdr:to>
      <xdr:col>30</xdr:col>
      <xdr:colOff>57150</xdr:colOff>
      <xdr:row>79</xdr:row>
      <xdr:rowOff>57150</xdr:rowOff>
    </xdr:to>
    <xdr:graphicFrame macro="">
      <xdr:nvGraphicFramePr>
        <xdr:cNvPr id="29" name="Gráfico 28">
          <a:extLst>
            <a:ext uri="{FF2B5EF4-FFF2-40B4-BE49-F238E27FC236}">
              <a16:creationId xmlns:a16="http://schemas.microsoft.com/office/drawing/2014/main" id="{0AD600EC-18AE-4D34-9130-57C1FB707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408215</xdr:colOff>
      <xdr:row>81</xdr:row>
      <xdr:rowOff>186418</xdr:rowOff>
    </xdr:from>
    <xdr:to>
      <xdr:col>30</xdr:col>
      <xdr:colOff>19050</xdr:colOff>
      <xdr:row>99</xdr:row>
      <xdr:rowOff>57150</xdr:rowOff>
    </xdr:to>
    <xdr:graphicFrame macro="">
      <xdr:nvGraphicFramePr>
        <xdr:cNvPr id="33" name="Gráfico 32">
          <a:extLst>
            <a:ext uri="{FF2B5EF4-FFF2-40B4-BE49-F238E27FC236}">
              <a16:creationId xmlns:a16="http://schemas.microsoft.com/office/drawing/2014/main" id="{18D7FD9A-28EE-4EBE-BF90-25A98D0EA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408215</xdr:colOff>
      <xdr:row>101</xdr:row>
      <xdr:rowOff>186418</xdr:rowOff>
    </xdr:from>
    <xdr:to>
      <xdr:col>30</xdr:col>
      <xdr:colOff>0</xdr:colOff>
      <xdr:row>117</xdr:row>
      <xdr:rowOff>149679</xdr:rowOff>
    </xdr:to>
    <xdr:graphicFrame macro="">
      <xdr:nvGraphicFramePr>
        <xdr:cNvPr id="34" name="Gráfico 33">
          <a:extLst>
            <a:ext uri="{FF2B5EF4-FFF2-40B4-BE49-F238E27FC236}">
              <a16:creationId xmlns:a16="http://schemas.microsoft.com/office/drawing/2014/main" id="{DECEF560-3939-4F2A-A45A-0624CD552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408215</xdr:colOff>
      <xdr:row>121</xdr:row>
      <xdr:rowOff>186418</xdr:rowOff>
    </xdr:from>
    <xdr:to>
      <xdr:col>30</xdr:col>
      <xdr:colOff>0</xdr:colOff>
      <xdr:row>138</xdr:row>
      <xdr:rowOff>76200</xdr:rowOff>
    </xdr:to>
    <xdr:graphicFrame macro="">
      <xdr:nvGraphicFramePr>
        <xdr:cNvPr id="35" name="Gráfico 34">
          <a:extLst>
            <a:ext uri="{FF2B5EF4-FFF2-40B4-BE49-F238E27FC236}">
              <a16:creationId xmlns:a16="http://schemas.microsoft.com/office/drawing/2014/main" id="{B7BCAC79-4DD1-4FD3-8FF1-BD1240EDA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258534</xdr:colOff>
      <xdr:row>143</xdr:row>
      <xdr:rowOff>265341</xdr:rowOff>
    </xdr:from>
    <xdr:to>
      <xdr:col>17</xdr:col>
      <xdr:colOff>190500</xdr:colOff>
      <xdr:row>161</xdr:row>
      <xdr:rowOff>11339</xdr:rowOff>
    </xdr:to>
    <xdr:graphicFrame macro="">
      <xdr:nvGraphicFramePr>
        <xdr:cNvPr id="36" name="Gráfico 35">
          <a:extLst>
            <a:ext uri="{FF2B5EF4-FFF2-40B4-BE49-F238E27FC236}">
              <a16:creationId xmlns:a16="http://schemas.microsoft.com/office/drawing/2014/main" id="{5A446520-F44C-4445-BFFF-BCB6ACECB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408215</xdr:colOff>
      <xdr:row>142</xdr:row>
      <xdr:rowOff>186418</xdr:rowOff>
    </xdr:from>
    <xdr:to>
      <xdr:col>30</xdr:col>
      <xdr:colOff>0</xdr:colOff>
      <xdr:row>158</xdr:row>
      <xdr:rowOff>149679</xdr:rowOff>
    </xdr:to>
    <xdr:graphicFrame macro="">
      <xdr:nvGraphicFramePr>
        <xdr:cNvPr id="37" name="Gráfico 36">
          <a:extLst>
            <a:ext uri="{FF2B5EF4-FFF2-40B4-BE49-F238E27FC236}">
              <a16:creationId xmlns:a16="http://schemas.microsoft.com/office/drawing/2014/main" id="{D81ED82C-484D-431B-B3F5-31388580B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258536</xdr:colOff>
      <xdr:row>163</xdr:row>
      <xdr:rowOff>201841</xdr:rowOff>
    </xdr:from>
    <xdr:to>
      <xdr:col>17</xdr:col>
      <xdr:colOff>222251</xdr:colOff>
      <xdr:row>180</xdr:row>
      <xdr:rowOff>106589</xdr:rowOff>
    </xdr:to>
    <xdr:graphicFrame macro="">
      <xdr:nvGraphicFramePr>
        <xdr:cNvPr id="38" name="Gráfico 37">
          <a:extLst>
            <a:ext uri="{FF2B5EF4-FFF2-40B4-BE49-F238E27FC236}">
              <a16:creationId xmlns:a16="http://schemas.microsoft.com/office/drawing/2014/main" id="{0B5DDBB7-1685-4097-ABBF-033EC2D3A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408215</xdr:colOff>
      <xdr:row>162</xdr:row>
      <xdr:rowOff>186418</xdr:rowOff>
    </xdr:from>
    <xdr:to>
      <xdr:col>30</xdr:col>
      <xdr:colOff>0</xdr:colOff>
      <xdr:row>178</xdr:row>
      <xdr:rowOff>149679</xdr:rowOff>
    </xdr:to>
    <xdr:graphicFrame macro="">
      <xdr:nvGraphicFramePr>
        <xdr:cNvPr id="39" name="Gráfico 38">
          <a:extLst>
            <a:ext uri="{FF2B5EF4-FFF2-40B4-BE49-F238E27FC236}">
              <a16:creationId xmlns:a16="http://schemas.microsoft.com/office/drawing/2014/main" id="{95D7D9B4-67CA-4408-BE71-5BFA6D725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258534</xdr:colOff>
      <xdr:row>183</xdr:row>
      <xdr:rowOff>122466</xdr:rowOff>
    </xdr:from>
    <xdr:to>
      <xdr:col>17</xdr:col>
      <xdr:colOff>206375</xdr:colOff>
      <xdr:row>200</xdr:row>
      <xdr:rowOff>27214</xdr:rowOff>
    </xdr:to>
    <xdr:graphicFrame macro="">
      <xdr:nvGraphicFramePr>
        <xdr:cNvPr id="40" name="Gráfico 39">
          <a:extLst>
            <a:ext uri="{FF2B5EF4-FFF2-40B4-BE49-F238E27FC236}">
              <a16:creationId xmlns:a16="http://schemas.microsoft.com/office/drawing/2014/main" id="{AFB911E5-609E-40F7-993A-6EF1DC041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408215</xdr:colOff>
      <xdr:row>182</xdr:row>
      <xdr:rowOff>227240</xdr:rowOff>
    </xdr:from>
    <xdr:to>
      <xdr:col>30</xdr:col>
      <xdr:colOff>0</xdr:colOff>
      <xdr:row>198</xdr:row>
      <xdr:rowOff>190501</xdr:rowOff>
    </xdr:to>
    <xdr:graphicFrame macro="">
      <xdr:nvGraphicFramePr>
        <xdr:cNvPr id="41" name="Gráfico 40">
          <a:extLst>
            <a:ext uri="{FF2B5EF4-FFF2-40B4-BE49-F238E27FC236}">
              <a16:creationId xmlns:a16="http://schemas.microsoft.com/office/drawing/2014/main" id="{DD1C18B7-7939-447B-B83C-AF6CBC9EC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258535</xdr:colOff>
      <xdr:row>204</xdr:row>
      <xdr:rowOff>122466</xdr:rowOff>
    </xdr:from>
    <xdr:to>
      <xdr:col>17</xdr:col>
      <xdr:colOff>247650</xdr:colOff>
      <xdr:row>221</xdr:row>
      <xdr:rowOff>27214</xdr:rowOff>
    </xdr:to>
    <xdr:graphicFrame macro="">
      <xdr:nvGraphicFramePr>
        <xdr:cNvPr id="42" name="Gráfico 41">
          <a:extLst>
            <a:ext uri="{FF2B5EF4-FFF2-40B4-BE49-F238E27FC236}">
              <a16:creationId xmlns:a16="http://schemas.microsoft.com/office/drawing/2014/main" id="{7876F387-29A1-48B6-AAC9-5E92B4A3F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408215</xdr:colOff>
      <xdr:row>204</xdr:row>
      <xdr:rowOff>131990</xdr:rowOff>
    </xdr:from>
    <xdr:to>
      <xdr:col>30</xdr:col>
      <xdr:colOff>0</xdr:colOff>
      <xdr:row>221</xdr:row>
      <xdr:rowOff>1</xdr:rowOff>
    </xdr:to>
    <xdr:graphicFrame macro="">
      <xdr:nvGraphicFramePr>
        <xdr:cNvPr id="43" name="Gráfico 42">
          <a:extLst>
            <a:ext uri="{FF2B5EF4-FFF2-40B4-BE49-F238E27FC236}">
              <a16:creationId xmlns:a16="http://schemas.microsoft.com/office/drawing/2014/main" id="{730998BB-19FD-48CD-A15C-68DE5BDA1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258535</xdr:colOff>
      <xdr:row>224</xdr:row>
      <xdr:rowOff>122466</xdr:rowOff>
    </xdr:from>
    <xdr:to>
      <xdr:col>17</xdr:col>
      <xdr:colOff>304801</xdr:colOff>
      <xdr:row>241</xdr:row>
      <xdr:rowOff>27214</xdr:rowOff>
    </xdr:to>
    <xdr:graphicFrame macro="">
      <xdr:nvGraphicFramePr>
        <xdr:cNvPr id="44" name="Gráfico 43">
          <a:extLst>
            <a:ext uri="{FF2B5EF4-FFF2-40B4-BE49-F238E27FC236}">
              <a16:creationId xmlns:a16="http://schemas.microsoft.com/office/drawing/2014/main" id="{F8B85C79-C794-412E-B0D5-1B00E6712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384489</xdr:colOff>
      <xdr:row>225</xdr:row>
      <xdr:rowOff>87679</xdr:rowOff>
    </xdr:from>
    <xdr:to>
      <xdr:col>30</xdr:col>
      <xdr:colOff>38100</xdr:colOff>
      <xdr:row>240</xdr:row>
      <xdr:rowOff>152400</xdr:rowOff>
    </xdr:to>
    <xdr:graphicFrame macro="">
      <xdr:nvGraphicFramePr>
        <xdr:cNvPr id="45" name="Gráfico 44">
          <a:extLst>
            <a:ext uri="{FF2B5EF4-FFF2-40B4-BE49-F238E27FC236}">
              <a16:creationId xmlns:a16="http://schemas.microsoft.com/office/drawing/2014/main" id="{7C4F1FC7-DFEA-4F59-9A18-E301BC0C8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258535</xdr:colOff>
      <xdr:row>243</xdr:row>
      <xdr:rowOff>122466</xdr:rowOff>
    </xdr:from>
    <xdr:to>
      <xdr:col>17</xdr:col>
      <xdr:colOff>304801</xdr:colOff>
      <xdr:row>260</xdr:row>
      <xdr:rowOff>27214</xdr:rowOff>
    </xdr:to>
    <xdr:graphicFrame macro="">
      <xdr:nvGraphicFramePr>
        <xdr:cNvPr id="46" name="Gráfico 45">
          <a:extLst>
            <a:ext uri="{FF2B5EF4-FFF2-40B4-BE49-F238E27FC236}">
              <a16:creationId xmlns:a16="http://schemas.microsoft.com/office/drawing/2014/main" id="{2C3F4AB9-BE9E-45D4-8CB9-F7EACBB91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21</xdr:col>
      <xdr:colOff>408215</xdr:colOff>
      <xdr:row>243</xdr:row>
      <xdr:rowOff>147342</xdr:rowOff>
    </xdr:from>
    <xdr:to>
      <xdr:col>30</xdr:col>
      <xdr:colOff>0</xdr:colOff>
      <xdr:row>260</xdr:row>
      <xdr:rowOff>51986</xdr:rowOff>
    </xdr:to>
    <xdr:graphicFrame macro="">
      <xdr:nvGraphicFramePr>
        <xdr:cNvPr id="47" name="Gráfico 46">
          <a:extLst>
            <a:ext uri="{FF2B5EF4-FFF2-40B4-BE49-F238E27FC236}">
              <a16:creationId xmlns:a16="http://schemas.microsoft.com/office/drawing/2014/main" id="{BEDDBAA1-67CA-42C8-A0CC-8FFC93A7D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258535</xdr:colOff>
      <xdr:row>262</xdr:row>
      <xdr:rowOff>233591</xdr:rowOff>
    </xdr:from>
    <xdr:to>
      <xdr:col>17</xdr:col>
      <xdr:colOff>342901</xdr:colOff>
      <xdr:row>279</xdr:row>
      <xdr:rowOff>138339</xdr:rowOff>
    </xdr:to>
    <xdr:graphicFrame macro="">
      <xdr:nvGraphicFramePr>
        <xdr:cNvPr id="48" name="Gráfico 47">
          <a:extLst>
            <a:ext uri="{FF2B5EF4-FFF2-40B4-BE49-F238E27FC236}">
              <a16:creationId xmlns:a16="http://schemas.microsoft.com/office/drawing/2014/main" id="{008192B8-0539-4C5A-8940-226E59F8E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410307</xdr:colOff>
      <xdr:row>263</xdr:row>
      <xdr:rowOff>127802</xdr:rowOff>
    </xdr:from>
    <xdr:to>
      <xdr:col>30</xdr:col>
      <xdr:colOff>58614</xdr:colOff>
      <xdr:row>281</xdr:row>
      <xdr:rowOff>78154</xdr:rowOff>
    </xdr:to>
    <xdr:graphicFrame macro="">
      <xdr:nvGraphicFramePr>
        <xdr:cNvPr id="49" name="Gráfico 48">
          <a:extLst>
            <a:ext uri="{FF2B5EF4-FFF2-40B4-BE49-F238E27FC236}">
              <a16:creationId xmlns:a16="http://schemas.microsoft.com/office/drawing/2014/main" id="{77AD59A6-3058-417B-84E4-051627876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258535</xdr:colOff>
      <xdr:row>282</xdr:row>
      <xdr:rowOff>122466</xdr:rowOff>
    </xdr:from>
    <xdr:to>
      <xdr:col>17</xdr:col>
      <xdr:colOff>419101</xdr:colOff>
      <xdr:row>299</xdr:row>
      <xdr:rowOff>27214</xdr:rowOff>
    </xdr:to>
    <xdr:graphicFrame macro="">
      <xdr:nvGraphicFramePr>
        <xdr:cNvPr id="50" name="Gráfico 49">
          <a:extLst>
            <a:ext uri="{FF2B5EF4-FFF2-40B4-BE49-F238E27FC236}">
              <a16:creationId xmlns:a16="http://schemas.microsoft.com/office/drawing/2014/main" id="{86F64A8E-55C6-4AF1-A3DA-D812FCE99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447292</xdr:colOff>
      <xdr:row>282</xdr:row>
      <xdr:rowOff>166879</xdr:rowOff>
    </xdr:from>
    <xdr:to>
      <xdr:col>30</xdr:col>
      <xdr:colOff>39077</xdr:colOff>
      <xdr:row>299</xdr:row>
      <xdr:rowOff>12910</xdr:rowOff>
    </xdr:to>
    <xdr:graphicFrame macro="">
      <xdr:nvGraphicFramePr>
        <xdr:cNvPr id="51" name="Gráfico 50">
          <a:extLst>
            <a:ext uri="{FF2B5EF4-FFF2-40B4-BE49-F238E27FC236}">
              <a16:creationId xmlns:a16="http://schemas.microsoft.com/office/drawing/2014/main" id="{956272C6-6161-42B4-BF38-1C3D7B7CC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242659</xdr:colOff>
      <xdr:row>303</xdr:row>
      <xdr:rowOff>11341</xdr:rowOff>
    </xdr:from>
    <xdr:to>
      <xdr:col>17</xdr:col>
      <xdr:colOff>400050</xdr:colOff>
      <xdr:row>319</xdr:row>
      <xdr:rowOff>154214</xdr:rowOff>
    </xdr:to>
    <xdr:graphicFrame macro="">
      <xdr:nvGraphicFramePr>
        <xdr:cNvPr id="52" name="Gráfico 51">
          <a:extLst>
            <a:ext uri="{FF2B5EF4-FFF2-40B4-BE49-F238E27FC236}">
              <a16:creationId xmlns:a16="http://schemas.microsoft.com/office/drawing/2014/main" id="{50FA3DCE-9E16-4CC7-BD35-77C481C897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408215</xdr:colOff>
      <xdr:row>302</xdr:row>
      <xdr:rowOff>88725</xdr:rowOff>
    </xdr:from>
    <xdr:to>
      <xdr:col>30</xdr:col>
      <xdr:colOff>0</xdr:colOff>
      <xdr:row>318</xdr:row>
      <xdr:rowOff>91063</xdr:rowOff>
    </xdr:to>
    <xdr:graphicFrame macro="">
      <xdr:nvGraphicFramePr>
        <xdr:cNvPr id="53" name="Gráfico 52">
          <a:extLst>
            <a:ext uri="{FF2B5EF4-FFF2-40B4-BE49-F238E27FC236}">
              <a16:creationId xmlns:a16="http://schemas.microsoft.com/office/drawing/2014/main" id="{0F7072FD-B6C7-48B1-BDAC-E547C8A8B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258535</xdr:colOff>
      <xdr:row>323</xdr:row>
      <xdr:rowOff>201842</xdr:rowOff>
    </xdr:from>
    <xdr:to>
      <xdr:col>17</xdr:col>
      <xdr:colOff>400050</xdr:colOff>
      <xdr:row>340</xdr:row>
      <xdr:rowOff>63501</xdr:rowOff>
    </xdr:to>
    <xdr:graphicFrame macro="">
      <xdr:nvGraphicFramePr>
        <xdr:cNvPr id="54" name="Gráfico 53">
          <a:extLst>
            <a:ext uri="{FF2B5EF4-FFF2-40B4-BE49-F238E27FC236}">
              <a16:creationId xmlns:a16="http://schemas.microsoft.com/office/drawing/2014/main" id="{76F330A2-5211-403A-9322-9D16C506A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21</xdr:col>
      <xdr:colOff>369138</xdr:colOff>
      <xdr:row>324</xdr:row>
      <xdr:rowOff>88725</xdr:rowOff>
    </xdr:from>
    <xdr:to>
      <xdr:col>29</xdr:col>
      <xdr:colOff>664308</xdr:colOff>
      <xdr:row>340</xdr:row>
      <xdr:rowOff>130140</xdr:rowOff>
    </xdr:to>
    <xdr:graphicFrame macro="">
      <xdr:nvGraphicFramePr>
        <xdr:cNvPr id="55" name="Gráfico 54">
          <a:extLst>
            <a:ext uri="{FF2B5EF4-FFF2-40B4-BE49-F238E27FC236}">
              <a16:creationId xmlns:a16="http://schemas.microsoft.com/office/drawing/2014/main" id="{7FE39BE0-852D-4A9B-A0E1-323AD7663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258535</xdr:colOff>
      <xdr:row>343</xdr:row>
      <xdr:rowOff>185966</xdr:rowOff>
    </xdr:from>
    <xdr:to>
      <xdr:col>17</xdr:col>
      <xdr:colOff>400051</xdr:colOff>
      <xdr:row>360</xdr:row>
      <xdr:rowOff>90714</xdr:rowOff>
    </xdr:to>
    <xdr:graphicFrame macro="">
      <xdr:nvGraphicFramePr>
        <xdr:cNvPr id="56" name="Gráfico 55">
          <a:extLst>
            <a:ext uri="{FF2B5EF4-FFF2-40B4-BE49-F238E27FC236}">
              <a16:creationId xmlns:a16="http://schemas.microsoft.com/office/drawing/2014/main" id="{7880101B-9A63-472B-9284-37F0706D2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388676</xdr:colOff>
      <xdr:row>343</xdr:row>
      <xdr:rowOff>147341</xdr:rowOff>
    </xdr:from>
    <xdr:to>
      <xdr:col>29</xdr:col>
      <xdr:colOff>683846</xdr:colOff>
      <xdr:row>359</xdr:row>
      <xdr:rowOff>149678</xdr:rowOff>
    </xdr:to>
    <xdr:graphicFrame macro="">
      <xdr:nvGraphicFramePr>
        <xdr:cNvPr id="57" name="Gráfico 56">
          <a:extLst>
            <a:ext uri="{FF2B5EF4-FFF2-40B4-BE49-F238E27FC236}">
              <a16:creationId xmlns:a16="http://schemas.microsoft.com/office/drawing/2014/main" id="{29005229-C572-4C15-8C48-B7E4E32F1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258535</xdr:colOff>
      <xdr:row>363</xdr:row>
      <xdr:rowOff>122466</xdr:rowOff>
    </xdr:from>
    <xdr:to>
      <xdr:col>17</xdr:col>
      <xdr:colOff>381001</xdr:colOff>
      <xdr:row>380</xdr:row>
      <xdr:rowOff>27214</xdr:rowOff>
    </xdr:to>
    <xdr:graphicFrame macro="">
      <xdr:nvGraphicFramePr>
        <xdr:cNvPr id="58" name="Gráfico 57">
          <a:extLst>
            <a:ext uri="{FF2B5EF4-FFF2-40B4-BE49-F238E27FC236}">
              <a16:creationId xmlns:a16="http://schemas.microsoft.com/office/drawing/2014/main" id="{33E3E22E-88B0-4245-8CB1-3BFBC1579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21</xdr:col>
      <xdr:colOff>388677</xdr:colOff>
      <xdr:row>363</xdr:row>
      <xdr:rowOff>88726</xdr:rowOff>
    </xdr:from>
    <xdr:to>
      <xdr:col>29</xdr:col>
      <xdr:colOff>683847</xdr:colOff>
      <xdr:row>379</xdr:row>
      <xdr:rowOff>71526</xdr:rowOff>
    </xdr:to>
    <xdr:graphicFrame macro="">
      <xdr:nvGraphicFramePr>
        <xdr:cNvPr id="59" name="Gráfico 58">
          <a:extLst>
            <a:ext uri="{FF2B5EF4-FFF2-40B4-BE49-F238E27FC236}">
              <a16:creationId xmlns:a16="http://schemas.microsoft.com/office/drawing/2014/main" id="{020EDFCF-13D8-4F2A-8EE4-640A9AAFE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258535</xdr:colOff>
      <xdr:row>383</xdr:row>
      <xdr:rowOff>122466</xdr:rowOff>
    </xdr:from>
    <xdr:to>
      <xdr:col>17</xdr:col>
      <xdr:colOff>381001</xdr:colOff>
      <xdr:row>400</xdr:row>
      <xdr:rowOff>27214</xdr:rowOff>
    </xdr:to>
    <xdr:graphicFrame macro="">
      <xdr:nvGraphicFramePr>
        <xdr:cNvPr id="60" name="Gráfico 59">
          <a:extLst>
            <a:ext uri="{FF2B5EF4-FFF2-40B4-BE49-F238E27FC236}">
              <a16:creationId xmlns:a16="http://schemas.microsoft.com/office/drawing/2014/main" id="{F256FED4-8528-4737-9F44-6ED2AAA0B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21</xdr:col>
      <xdr:colOff>408215</xdr:colOff>
      <xdr:row>383</xdr:row>
      <xdr:rowOff>88726</xdr:rowOff>
    </xdr:from>
    <xdr:to>
      <xdr:col>30</xdr:col>
      <xdr:colOff>0</xdr:colOff>
      <xdr:row>399</xdr:row>
      <xdr:rowOff>71525</xdr:rowOff>
    </xdr:to>
    <xdr:graphicFrame macro="">
      <xdr:nvGraphicFramePr>
        <xdr:cNvPr id="61" name="Gráfico 60">
          <a:extLst>
            <a:ext uri="{FF2B5EF4-FFF2-40B4-BE49-F238E27FC236}">
              <a16:creationId xmlns:a16="http://schemas.microsoft.com/office/drawing/2014/main" id="{4790BAB8-5A6C-44F9-9464-124D88B4B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34925</xdr:colOff>
      <xdr:row>39</xdr:row>
      <xdr:rowOff>63500</xdr:rowOff>
    </xdr:from>
    <xdr:to>
      <xdr:col>0</xdr:col>
      <xdr:colOff>3524250</xdr:colOff>
      <xdr:row>53</xdr:row>
      <xdr:rowOff>171450</xdr:rowOff>
    </xdr:to>
    <xdr:graphicFrame macro="">
      <xdr:nvGraphicFramePr>
        <xdr:cNvPr id="62" name="Gráfico 61">
          <a:extLst>
            <a:ext uri="{FF2B5EF4-FFF2-40B4-BE49-F238E27FC236}">
              <a16:creationId xmlns:a16="http://schemas.microsoft.com/office/drawing/2014/main" id="{9A81AD31-4DF1-43EE-A986-FD9C0445C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58</xdr:row>
      <xdr:rowOff>95250</xdr:rowOff>
    </xdr:from>
    <xdr:to>
      <xdr:col>1</xdr:col>
      <xdr:colOff>38100</xdr:colOff>
      <xdr:row>74</xdr:row>
      <xdr:rowOff>111124</xdr:rowOff>
    </xdr:to>
    <xdr:graphicFrame macro="">
      <xdr:nvGraphicFramePr>
        <xdr:cNvPr id="5" name="Gráfico 4">
          <a:extLst>
            <a:ext uri="{FF2B5EF4-FFF2-40B4-BE49-F238E27FC236}">
              <a16:creationId xmlns:a16="http://schemas.microsoft.com/office/drawing/2014/main" id="{FD57ACBD-51C8-1F46-ADBD-5F77CCB36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269876</xdr:colOff>
      <xdr:row>8</xdr:row>
      <xdr:rowOff>95250</xdr:rowOff>
    </xdr:from>
    <xdr:to>
      <xdr:col>17</xdr:col>
      <xdr:colOff>31750</xdr:colOff>
      <xdr:row>22</xdr:row>
      <xdr:rowOff>127000</xdr:rowOff>
    </xdr:to>
    <xdr:graphicFrame macro="">
      <xdr:nvGraphicFramePr>
        <xdr:cNvPr id="64" name="Gráfico 63">
          <a:extLst>
            <a:ext uri="{FF2B5EF4-FFF2-40B4-BE49-F238E27FC236}">
              <a16:creationId xmlns:a16="http://schemas.microsoft.com/office/drawing/2014/main" id="{0A581DBF-B2F8-124C-82C3-8F2CB2C6A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301627</xdr:colOff>
      <xdr:row>25</xdr:row>
      <xdr:rowOff>238125</xdr:rowOff>
    </xdr:from>
    <xdr:to>
      <xdr:col>17</xdr:col>
      <xdr:colOff>13608</xdr:colOff>
      <xdr:row>38</xdr:row>
      <xdr:rowOff>238125</xdr:rowOff>
    </xdr:to>
    <xdr:graphicFrame macro="">
      <xdr:nvGraphicFramePr>
        <xdr:cNvPr id="66" name="Gráfico 65">
          <a:extLst>
            <a:ext uri="{FF2B5EF4-FFF2-40B4-BE49-F238E27FC236}">
              <a16:creationId xmlns:a16="http://schemas.microsoft.com/office/drawing/2014/main" id="{6E9B4F9E-A486-074C-AF0B-ED5D4F7AD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254000</xdr:colOff>
      <xdr:row>43</xdr:row>
      <xdr:rowOff>174625</xdr:rowOff>
    </xdr:from>
    <xdr:to>
      <xdr:col>17</xdr:col>
      <xdr:colOff>40822</xdr:colOff>
      <xdr:row>58</xdr:row>
      <xdr:rowOff>174625</xdr:rowOff>
    </xdr:to>
    <xdr:graphicFrame macro="">
      <xdr:nvGraphicFramePr>
        <xdr:cNvPr id="67" name="Gráfico 66">
          <a:extLst>
            <a:ext uri="{FF2B5EF4-FFF2-40B4-BE49-F238E27FC236}">
              <a16:creationId xmlns:a16="http://schemas.microsoft.com/office/drawing/2014/main" id="{03673AC8-693E-3148-8329-F4C843A98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285750</xdr:colOff>
      <xdr:row>62</xdr:row>
      <xdr:rowOff>31750</xdr:rowOff>
    </xdr:from>
    <xdr:to>
      <xdr:col>17</xdr:col>
      <xdr:colOff>54429</xdr:colOff>
      <xdr:row>78</xdr:row>
      <xdr:rowOff>15875</xdr:rowOff>
    </xdr:to>
    <xdr:graphicFrame macro="">
      <xdr:nvGraphicFramePr>
        <xdr:cNvPr id="68" name="Gráfico 67">
          <a:extLst>
            <a:ext uri="{FF2B5EF4-FFF2-40B4-BE49-F238E27FC236}">
              <a16:creationId xmlns:a16="http://schemas.microsoft.com/office/drawing/2014/main" id="{89E41DFB-5C57-9941-AF63-DA8950FB0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301625</xdr:colOff>
      <xdr:row>83</xdr:row>
      <xdr:rowOff>95249</xdr:rowOff>
    </xdr:from>
    <xdr:to>
      <xdr:col>17</xdr:col>
      <xdr:colOff>95250</xdr:colOff>
      <xdr:row>99</xdr:row>
      <xdr:rowOff>63500</xdr:rowOff>
    </xdr:to>
    <xdr:graphicFrame macro="">
      <xdr:nvGraphicFramePr>
        <xdr:cNvPr id="69" name="Gráfico 68">
          <a:extLst>
            <a:ext uri="{FF2B5EF4-FFF2-40B4-BE49-F238E27FC236}">
              <a16:creationId xmlns:a16="http://schemas.microsoft.com/office/drawing/2014/main" id="{309DBAE2-8B5B-7648-A1AD-21D4047E6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222251</xdr:colOff>
      <xdr:row>103</xdr:row>
      <xdr:rowOff>79374</xdr:rowOff>
    </xdr:from>
    <xdr:to>
      <xdr:col>17</xdr:col>
      <xdr:colOff>142876</xdr:colOff>
      <xdr:row>119</xdr:row>
      <xdr:rowOff>0</xdr:rowOff>
    </xdr:to>
    <xdr:graphicFrame macro="">
      <xdr:nvGraphicFramePr>
        <xdr:cNvPr id="70" name="Gráfico 69">
          <a:extLst>
            <a:ext uri="{FF2B5EF4-FFF2-40B4-BE49-F238E27FC236}">
              <a16:creationId xmlns:a16="http://schemas.microsoft.com/office/drawing/2014/main" id="{91AD1255-5360-EE46-9A8A-06BB6B634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3565072</xdr:colOff>
      <xdr:row>39</xdr:row>
      <xdr:rowOff>101600</xdr:rowOff>
    </xdr:from>
    <xdr:to>
      <xdr:col>0</xdr:col>
      <xdr:colOff>7493000</xdr:colOff>
      <xdr:row>53</xdr:row>
      <xdr:rowOff>138794</xdr:rowOff>
    </xdr:to>
    <xdr:graphicFrame macro="">
      <xdr:nvGraphicFramePr>
        <xdr:cNvPr id="4" name="Gráfico 3">
          <a:extLst>
            <a:ext uri="{FF2B5EF4-FFF2-40B4-BE49-F238E27FC236}">
              <a16:creationId xmlns:a16="http://schemas.microsoft.com/office/drawing/2014/main" id="{0E3AEA4C-13E4-4F2E-A0C5-AD4D113DC7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0</xdr:col>
      <xdr:colOff>1390650</xdr:colOff>
      <xdr:row>1</xdr:row>
      <xdr:rowOff>57150</xdr:rowOff>
    </xdr:from>
    <xdr:to>
      <xdr:col>0</xdr:col>
      <xdr:colOff>5438380</xdr:colOff>
      <xdr:row>14</xdr:row>
      <xdr:rowOff>77560</xdr:rowOff>
    </xdr:to>
    <xdr:pic>
      <xdr:nvPicPr>
        <xdr:cNvPr id="65" name="Imagem 64">
          <a:extLst>
            <a:ext uri="{FF2B5EF4-FFF2-40B4-BE49-F238E27FC236}">
              <a16:creationId xmlns:a16="http://schemas.microsoft.com/office/drawing/2014/main" id="{0BC7F4E4-4B39-44E1-AF0B-BDB559CA178F}"/>
            </a:ext>
          </a:extLst>
        </xdr:cNvPr>
        <xdr:cNvPicPr>
          <a:picLocks noChangeAspect="1"/>
        </xdr:cNvPicPr>
      </xdr:nvPicPr>
      <xdr:blipFill>
        <a:blip xmlns:r="http://schemas.openxmlformats.org/officeDocument/2006/relationships" r:embed="rId44"/>
        <a:stretch>
          <a:fillRect/>
        </a:stretch>
      </xdr:blipFill>
      <xdr:spPr>
        <a:xfrm>
          <a:off x="1390650" y="228600"/>
          <a:ext cx="4047730" cy="2496910"/>
        </a:xfrm>
        <a:prstGeom prst="rect">
          <a:avLst/>
        </a:prstGeom>
      </xdr:spPr>
    </xdr:pic>
    <xdr:clientData/>
  </xdr:twoCellAnchor>
  <xdr:twoCellAnchor>
    <xdr:from>
      <xdr:col>0</xdr:col>
      <xdr:colOff>0</xdr:colOff>
      <xdr:row>78</xdr:row>
      <xdr:rowOff>21167</xdr:rowOff>
    </xdr:from>
    <xdr:to>
      <xdr:col>0</xdr:col>
      <xdr:colOff>7577666</xdr:colOff>
      <xdr:row>99</xdr:row>
      <xdr:rowOff>115661</xdr:rowOff>
    </xdr:to>
    <xdr:graphicFrame macro="">
      <xdr:nvGraphicFramePr>
        <xdr:cNvPr id="6" name="Gráfico 5">
          <a:extLst>
            <a:ext uri="{FF2B5EF4-FFF2-40B4-BE49-F238E27FC236}">
              <a16:creationId xmlns:a16="http://schemas.microsoft.com/office/drawing/2014/main" id="{B970C6DF-0CF6-4FE9-A225-7E82902999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102</xdr:row>
      <xdr:rowOff>0</xdr:rowOff>
    </xdr:from>
    <xdr:to>
      <xdr:col>1</xdr:col>
      <xdr:colOff>0</xdr:colOff>
      <xdr:row>123</xdr:row>
      <xdr:rowOff>190500</xdr:rowOff>
    </xdr:to>
    <xdr:graphicFrame macro="">
      <xdr:nvGraphicFramePr>
        <xdr:cNvPr id="7" name="Gráfico 6">
          <a:extLst>
            <a:ext uri="{FF2B5EF4-FFF2-40B4-BE49-F238E27FC236}">
              <a16:creationId xmlns:a16="http://schemas.microsoft.com/office/drawing/2014/main" id="{4536A6C3-0978-41CA-B367-7E22C4C264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285749</xdr:colOff>
      <xdr:row>7</xdr:row>
      <xdr:rowOff>145597</xdr:rowOff>
    </xdr:from>
    <xdr:to>
      <xdr:col>17</xdr:col>
      <xdr:colOff>176893</xdr:colOff>
      <xdr:row>23</xdr:row>
      <xdr:rowOff>163286</xdr:rowOff>
    </xdr:to>
    <xdr:graphicFrame macro="">
      <xdr:nvGraphicFramePr>
        <xdr:cNvPr id="7" name="Gráfico 6">
          <a:extLst>
            <a:ext uri="{FF2B5EF4-FFF2-40B4-BE49-F238E27FC236}">
              <a16:creationId xmlns:a16="http://schemas.microsoft.com/office/drawing/2014/main" id="{DD9402B4-05E7-4AB5-8079-84AFEA96D7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190500</xdr:colOff>
      <xdr:row>7</xdr:row>
      <xdr:rowOff>131989</xdr:rowOff>
    </xdr:from>
    <xdr:to>
      <xdr:col>29</xdr:col>
      <xdr:colOff>476250</xdr:colOff>
      <xdr:row>23</xdr:row>
      <xdr:rowOff>81643</xdr:rowOff>
    </xdr:to>
    <xdr:graphicFrame macro="">
      <xdr:nvGraphicFramePr>
        <xdr:cNvPr id="9" name="Gráfico 8">
          <a:extLst>
            <a:ext uri="{FF2B5EF4-FFF2-40B4-BE49-F238E27FC236}">
              <a16:creationId xmlns:a16="http://schemas.microsoft.com/office/drawing/2014/main" id="{3948DCFF-3476-4435-8187-7DFC0E14BA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285749</xdr:colOff>
      <xdr:row>26</xdr:row>
      <xdr:rowOff>145597</xdr:rowOff>
    </xdr:from>
    <xdr:to>
      <xdr:col>17</xdr:col>
      <xdr:colOff>176893</xdr:colOff>
      <xdr:row>42</xdr:row>
      <xdr:rowOff>163286</xdr:rowOff>
    </xdr:to>
    <xdr:graphicFrame macro="">
      <xdr:nvGraphicFramePr>
        <xdr:cNvPr id="10" name="Gráfico 9">
          <a:extLst>
            <a:ext uri="{FF2B5EF4-FFF2-40B4-BE49-F238E27FC236}">
              <a16:creationId xmlns:a16="http://schemas.microsoft.com/office/drawing/2014/main" id="{9A97F8A6-18CD-41BF-93B8-AF69515D0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190500</xdr:colOff>
      <xdr:row>26</xdr:row>
      <xdr:rowOff>131989</xdr:rowOff>
    </xdr:from>
    <xdr:to>
      <xdr:col>29</xdr:col>
      <xdr:colOff>476250</xdr:colOff>
      <xdr:row>42</xdr:row>
      <xdr:rowOff>81643</xdr:rowOff>
    </xdr:to>
    <xdr:graphicFrame macro="">
      <xdr:nvGraphicFramePr>
        <xdr:cNvPr id="11" name="Gráfico 10">
          <a:extLst>
            <a:ext uri="{FF2B5EF4-FFF2-40B4-BE49-F238E27FC236}">
              <a16:creationId xmlns:a16="http://schemas.microsoft.com/office/drawing/2014/main" id="{2A21BC21-A8D6-4241-8E0E-672ED65BB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32</xdr:row>
      <xdr:rowOff>15876</xdr:rowOff>
    </xdr:from>
    <xdr:to>
      <xdr:col>0</xdr:col>
      <xdr:colOff>3683000</xdr:colOff>
      <xdr:row>51</xdr:row>
      <xdr:rowOff>111126</xdr:rowOff>
    </xdr:to>
    <xdr:graphicFrame macro="">
      <xdr:nvGraphicFramePr>
        <xdr:cNvPr id="13" name="Gráfico 12">
          <a:extLst>
            <a:ext uri="{FF2B5EF4-FFF2-40B4-BE49-F238E27FC236}">
              <a16:creationId xmlns:a16="http://schemas.microsoft.com/office/drawing/2014/main" id="{2D104D66-3AEE-4F0F-8E02-BC3E53EF0D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317499</xdr:colOff>
      <xdr:row>45</xdr:row>
      <xdr:rowOff>145597</xdr:rowOff>
    </xdr:from>
    <xdr:to>
      <xdr:col>17</xdr:col>
      <xdr:colOff>176892</xdr:colOff>
      <xdr:row>62</xdr:row>
      <xdr:rowOff>111125</xdr:rowOff>
    </xdr:to>
    <xdr:graphicFrame macro="">
      <xdr:nvGraphicFramePr>
        <xdr:cNvPr id="14" name="Gráfico 13">
          <a:extLst>
            <a:ext uri="{FF2B5EF4-FFF2-40B4-BE49-F238E27FC236}">
              <a16:creationId xmlns:a16="http://schemas.microsoft.com/office/drawing/2014/main" id="{5E6DFE44-AFC2-415E-8086-008F4718B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190500</xdr:colOff>
      <xdr:row>45</xdr:row>
      <xdr:rowOff>131989</xdr:rowOff>
    </xdr:from>
    <xdr:to>
      <xdr:col>29</xdr:col>
      <xdr:colOff>476250</xdr:colOff>
      <xdr:row>61</xdr:row>
      <xdr:rowOff>81643</xdr:rowOff>
    </xdr:to>
    <xdr:graphicFrame macro="">
      <xdr:nvGraphicFramePr>
        <xdr:cNvPr id="15" name="Gráfico 14">
          <a:extLst>
            <a:ext uri="{FF2B5EF4-FFF2-40B4-BE49-F238E27FC236}">
              <a16:creationId xmlns:a16="http://schemas.microsoft.com/office/drawing/2014/main" id="{714D75F5-1053-4179-BF74-9D31FC38C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285749</xdr:colOff>
      <xdr:row>67</xdr:row>
      <xdr:rowOff>145597</xdr:rowOff>
    </xdr:from>
    <xdr:to>
      <xdr:col>17</xdr:col>
      <xdr:colOff>176893</xdr:colOff>
      <xdr:row>83</xdr:row>
      <xdr:rowOff>163286</xdr:rowOff>
    </xdr:to>
    <xdr:graphicFrame macro="">
      <xdr:nvGraphicFramePr>
        <xdr:cNvPr id="16" name="Gráfico 15">
          <a:extLst>
            <a:ext uri="{FF2B5EF4-FFF2-40B4-BE49-F238E27FC236}">
              <a16:creationId xmlns:a16="http://schemas.microsoft.com/office/drawing/2014/main" id="{D1F89BC3-1CCD-4BA3-AC56-836CC821E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190500</xdr:colOff>
      <xdr:row>67</xdr:row>
      <xdr:rowOff>131989</xdr:rowOff>
    </xdr:from>
    <xdr:to>
      <xdr:col>29</xdr:col>
      <xdr:colOff>476250</xdr:colOff>
      <xdr:row>83</xdr:row>
      <xdr:rowOff>81643</xdr:rowOff>
    </xdr:to>
    <xdr:graphicFrame macro="">
      <xdr:nvGraphicFramePr>
        <xdr:cNvPr id="17" name="Gráfico 16">
          <a:extLst>
            <a:ext uri="{FF2B5EF4-FFF2-40B4-BE49-F238E27FC236}">
              <a16:creationId xmlns:a16="http://schemas.microsoft.com/office/drawing/2014/main" id="{6B03680D-243F-4D5B-9DBB-F9FB94E7A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285749</xdr:colOff>
      <xdr:row>86</xdr:row>
      <xdr:rowOff>145597</xdr:rowOff>
    </xdr:from>
    <xdr:to>
      <xdr:col>17</xdr:col>
      <xdr:colOff>176893</xdr:colOff>
      <xdr:row>102</xdr:row>
      <xdr:rowOff>163286</xdr:rowOff>
    </xdr:to>
    <xdr:graphicFrame macro="">
      <xdr:nvGraphicFramePr>
        <xdr:cNvPr id="18" name="Gráfico 17">
          <a:extLst>
            <a:ext uri="{FF2B5EF4-FFF2-40B4-BE49-F238E27FC236}">
              <a16:creationId xmlns:a16="http://schemas.microsoft.com/office/drawing/2014/main" id="{3969793B-53A7-4E06-A5FE-FC7D11A1D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190500</xdr:colOff>
      <xdr:row>86</xdr:row>
      <xdr:rowOff>131989</xdr:rowOff>
    </xdr:from>
    <xdr:to>
      <xdr:col>29</xdr:col>
      <xdr:colOff>476250</xdr:colOff>
      <xdr:row>102</xdr:row>
      <xdr:rowOff>81643</xdr:rowOff>
    </xdr:to>
    <xdr:graphicFrame macro="">
      <xdr:nvGraphicFramePr>
        <xdr:cNvPr id="19" name="Gráfico 18">
          <a:extLst>
            <a:ext uri="{FF2B5EF4-FFF2-40B4-BE49-F238E27FC236}">
              <a16:creationId xmlns:a16="http://schemas.microsoft.com/office/drawing/2014/main" id="{349C3CC5-BD26-4267-A961-6123C4EA2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285749</xdr:colOff>
      <xdr:row>105</xdr:row>
      <xdr:rowOff>145597</xdr:rowOff>
    </xdr:from>
    <xdr:to>
      <xdr:col>17</xdr:col>
      <xdr:colOff>176893</xdr:colOff>
      <xdr:row>121</xdr:row>
      <xdr:rowOff>163286</xdr:rowOff>
    </xdr:to>
    <xdr:graphicFrame macro="">
      <xdr:nvGraphicFramePr>
        <xdr:cNvPr id="20" name="Gráfico 19">
          <a:extLst>
            <a:ext uri="{FF2B5EF4-FFF2-40B4-BE49-F238E27FC236}">
              <a16:creationId xmlns:a16="http://schemas.microsoft.com/office/drawing/2014/main" id="{CC498B85-D6FF-41A2-A45F-C6CAD0A2B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190500</xdr:colOff>
      <xdr:row>105</xdr:row>
      <xdr:rowOff>131989</xdr:rowOff>
    </xdr:from>
    <xdr:to>
      <xdr:col>29</xdr:col>
      <xdr:colOff>476250</xdr:colOff>
      <xdr:row>121</xdr:row>
      <xdr:rowOff>81643</xdr:rowOff>
    </xdr:to>
    <xdr:graphicFrame macro="">
      <xdr:nvGraphicFramePr>
        <xdr:cNvPr id="21" name="Gráfico 20">
          <a:extLst>
            <a:ext uri="{FF2B5EF4-FFF2-40B4-BE49-F238E27FC236}">
              <a16:creationId xmlns:a16="http://schemas.microsoft.com/office/drawing/2014/main" id="{8D8A296E-AB18-4EB1-8A89-488F8300B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285749</xdr:colOff>
      <xdr:row>123</xdr:row>
      <xdr:rowOff>145597</xdr:rowOff>
    </xdr:from>
    <xdr:to>
      <xdr:col>17</xdr:col>
      <xdr:colOff>176893</xdr:colOff>
      <xdr:row>139</xdr:row>
      <xdr:rowOff>163286</xdr:rowOff>
    </xdr:to>
    <xdr:graphicFrame macro="">
      <xdr:nvGraphicFramePr>
        <xdr:cNvPr id="22" name="Gráfico 21">
          <a:extLst>
            <a:ext uri="{FF2B5EF4-FFF2-40B4-BE49-F238E27FC236}">
              <a16:creationId xmlns:a16="http://schemas.microsoft.com/office/drawing/2014/main" id="{8110275B-9425-4BA0-B229-DD62513F4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190500</xdr:colOff>
      <xdr:row>123</xdr:row>
      <xdr:rowOff>131989</xdr:rowOff>
    </xdr:from>
    <xdr:to>
      <xdr:col>29</xdr:col>
      <xdr:colOff>476250</xdr:colOff>
      <xdr:row>139</xdr:row>
      <xdr:rowOff>81643</xdr:rowOff>
    </xdr:to>
    <xdr:graphicFrame macro="">
      <xdr:nvGraphicFramePr>
        <xdr:cNvPr id="23" name="Gráfico 22">
          <a:extLst>
            <a:ext uri="{FF2B5EF4-FFF2-40B4-BE49-F238E27FC236}">
              <a16:creationId xmlns:a16="http://schemas.microsoft.com/office/drawing/2014/main" id="{B5CA2344-C418-40D8-8F20-0C4B6BFBD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285749</xdr:colOff>
      <xdr:row>142</xdr:row>
      <xdr:rowOff>145597</xdr:rowOff>
    </xdr:from>
    <xdr:to>
      <xdr:col>17</xdr:col>
      <xdr:colOff>176893</xdr:colOff>
      <xdr:row>158</xdr:row>
      <xdr:rowOff>163286</xdr:rowOff>
    </xdr:to>
    <xdr:graphicFrame macro="">
      <xdr:nvGraphicFramePr>
        <xdr:cNvPr id="24" name="Gráfico 23">
          <a:extLst>
            <a:ext uri="{FF2B5EF4-FFF2-40B4-BE49-F238E27FC236}">
              <a16:creationId xmlns:a16="http://schemas.microsoft.com/office/drawing/2014/main" id="{4ECA5A14-B996-4EC7-9FF5-E86A5A9E6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190500</xdr:colOff>
      <xdr:row>142</xdr:row>
      <xdr:rowOff>163739</xdr:rowOff>
    </xdr:from>
    <xdr:to>
      <xdr:col>29</xdr:col>
      <xdr:colOff>476250</xdr:colOff>
      <xdr:row>158</xdr:row>
      <xdr:rowOff>113393</xdr:rowOff>
    </xdr:to>
    <xdr:graphicFrame macro="">
      <xdr:nvGraphicFramePr>
        <xdr:cNvPr id="25" name="Gráfico 24">
          <a:extLst>
            <a:ext uri="{FF2B5EF4-FFF2-40B4-BE49-F238E27FC236}">
              <a16:creationId xmlns:a16="http://schemas.microsoft.com/office/drawing/2014/main" id="{8F382531-D2DC-4961-A86E-F71F2DAD6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285749</xdr:colOff>
      <xdr:row>163</xdr:row>
      <xdr:rowOff>145597</xdr:rowOff>
    </xdr:from>
    <xdr:to>
      <xdr:col>17</xdr:col>
      <xdr:colOff>176893</xdr:colOff>
      <xdr:row>179</xdr:row>
      <xdr:rowOff>163286</xdr:rowOff>
    </xdr:to>
    <xdr:graphicFrame macro="">
      <xdr:nvGraphicFramePr>
        <xdr:cNvPr id="26" name="Gráfico 25">
          <a:extLst>
            <a:ext uri="{FF2B5EF4-FFF2-40B4-BE49-F238E27FC236}">
              <a16:creationId xmlns:a16="http://schemas.microsoft.com/office/drawing/2014/main" id="{6A72B18F-0DCA-4402-B637-31F2D90A2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190500</xdr:colOff>
      <xdr:row>163</xdr:row>
      <xdr:rowOff>131989</xdr:rowOff>
    </xdr:from>
    <xdr:to>
      <xdr:col>29</xdr:col>
      <xdr:colOff>476250</xdr:colOff>
      <xdr:row>179</xdr:row>
      <xdr:rowOff>81643</xdr:rowOff>
    </xdr:to>
    <xdr:graphicFrame macro="">
      <xdr:nvGraphicFramePr>
        <xdr:cNvPr id="27" name="Gráfico 26">
          <a:extLst>
            <a:ext uri="{FF2B5EF4-FFF2-40B4-BE49-F238E27FC236}">
              <a16:creationId xmlns:a16="http://schemas.microsoft.com/office/drawing/2014/main" id="{A84EDC4D-13EE-4772-B0C2-9C1232B6C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31750</xdr:colOff>
      <xdr:row>60</xdr:row>
      <xdr:rowOff>40819</xdr:rowOff>
    </xdr:from>
    <xdr:to>
      <xdr:col>1</xdr:col>
      <xdr:colOff>0</xdr:colOff>
      <xdr:row>83</xdr:row>
      <xdr:rowOff>126999</xdr:rowOff>
    </xdr:to>
    <xdr:graphicFrame macro="">
      <xdr:nvGraphicFramePr>
        <xdr:cNvPr id="2" name="Gráfico 1">
          <a:extLst>
            <a:ext uri="{FF2B5EF4-FFF2-40B4-BE49-F238E27FC236}">
              <a16:creationId xmlns:a16="http://schemas.microsoft.com/office/drawing/2014/main" id="{E9831AF9-F12A-AD44-A1A1-C1DF7559B1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1428750</xdr:colOff>
      <xdr:row>1</xdr:row>
      <xdr:rowOff>0</xdr:rowOff>
    </xdr:from>
    <xdr:to>
      <xdr:col>0</xdr:col>
      <xdr:colOff>5476480</xdr:colOff>
      <xdr:row>13</xdr:row>
      <xdr:rowOff>39460</xdr:rowOff>
    </xdr:to>
    <xdr:pic>
      <xdr:nvPicPr>
        <xdr:cNvPr id="29" name="Imagem 28">
          <a:extLst>
            <a:ext uri="{FF2B5EF4-FFF2-40B4-BE49-F238E27FC236}">
              <a16:creationId xmlns:a16="http://schemas.microsoft.com/office/drawing/2014/main" id="{FED6019F-4D53-4149-B722-240B2163F702}"/>
            </a:ext>
          </a:extLst>
        </xdr:cNvPr>
        <xdr:cNvPicPr>
          <a:picLocks noChangeAspect="1"/>
        </xdr:cNvPicPr>
      </xdr:nvPicPr>
      <xdr:blipFill>
        <a:blip xmlns:r="http://schemas.openxmlformats.org/officeDocument/2006/relationships" r:embed="rId21"/>
        <a:stretch>
          <a:fillRect/>
        </a:stretch>
      </xdr:blipFill>
      <xdr:spPr>
        <a:xfrm>
          <a:off x="1428750" y="171450"/>
          <a:ext cx="4047730" cy="2496910"/>
        </a:xfrm>
        <a:prstGeom prst="rect">
          <a:avLst/>
        </a:prstGeom>
      </xdr:spPr>
    </xdr:pic>
    <xdr:clientData/>
  </xdr:twoCellAnchor>
  <xdr:twoCellAnchor>
    <xdr:from>
      <xdr:col>0</xdr:col>
      <xdr:colOff>3728358</xdr:colOff>
      <xdr:row>32</xdr:row>
      <xdr:rowOff>34774</xdr:rowOff>
    </xdr:from>
    <xdr:to>
      <xdr:col>0</xdr:col>
      <xdr:colOff>7559524</xdr:colOff>
      <xdr:row>51</xdr:row>
      <xdr:rowOff>130023</xdr:rowOff>
    </xdr:to>
    <xdr:graphicFrame macro="">
      <xdr:nvGraphicFramePr>
        <xdr:cNvPr id="6" name="Gráfico 5">
          <a:extLst>
            <a:ext uri="{FF2B5EF4-FFF2-40B4-BE49-F238E27FC236}">
              <a16:creationId xmlns:a16="http://schemas.microsoft.com/office/drawing/2014/main" id="{CC85DF75-A01A-422A-9F39-1F83F2930C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158751</xdr:colOff>
      <xdr:row>8</xdr:row>
      <xdr:rowOff>76200</xdr:rowOff>
    </xdr:from>
    <xdr:to>
      <xdr:col>6</xdr:col>
      <xdr:colOff>0</xdr:colOff>
      <xdr:row>21</xdr:row>
      <xdr:rowOff>33867</xdr:rowOff>
    </xdr:to>
    <xdr:graphicFrame macro="">
      <xdr:nvGraphicFramePr>
        <xdr:cNvPr id="9" name="Gráfico 8">
          <a:extLst>
            <a:ext uri="{FF2B5EF4-FFF2-40B4-BE49-F238E27FC236}">
              <a16:creationId xmlns:a16="http://schemas.microsoft.com/office/drawing/2014/main" id="{86822398-DCDC-47F5-8FC6-4153C0D6F7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169334</xdr:colOff>
      <xdr:row>8</xdr:row>
      <xdr:rowOff>114300</xdr:rowOff>
    </xdr:from>
    <xdr:to>
      <xdr:col>14</xdr:col>
      <xdr:colOff>269875</xdr:colOff>
      <xdr:row>21</xdr:row>
      <xdr:rowOff>67734</xdr:rowOff>
    </xdr:to>
    <xdr:graphicFrame macro="">
      <xdr:nvGraphicFramePr>
        <xdr:cNvPr id="10" name="Gráfico 9">
          <a:extLst>
            <a:ext uri="{FF2B5EF4-FFF2-40B4-BE49-F238E27FC236}">
              <a16:creationId xmlns:a16="http://schemas.microsoft.com/office/drawing/2014/main" id="{AEAA50FF-95AC-4905-8DCE-4ADCF2261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85724</xdr:colOff>
      <xdr:row>26</xdr:row>
      <xdr:rowOff>47625</xdr:rowOff>
    </xdr:from>
    <xdr:to>
      <xdr:col>6</xdr:col>
      <xdr:colOff>47623</xdr:colOff>
      <xdr:row>37</xdr:row>
      <xdr:rowOff>23812</xdr:rowOff>
    </xdr:to>
    <xdr:graphicFrame macro="">
      <xdr:nvGraphicFramePr>
        <xdr:cNvPr id="13" name="Gráfico 12">
          <a:extLst>
            <a:ext uri="{FF2B5EF4-FFF2-40B4-BE49-F238E27FC236}">
              <a16:creationId xmlns:a16="http://schemas.microsoft.com/office/drawing/2014/main" id="{BA09E591-50DB-4A73-AF87-1B84EBF73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57149</xdr:colOff>
      <xdr:row>45</xdr:row>
      <xdr:rowOff>119062</xdr:rowOff>
    </xdr:from>
    <xdr:to>
      <xdr:col>6</xdr:col>
      <xdr:colOff>142874</xdr:colOff>
      <xdr:row>57</xdr:row>
      <xdr:rowOff>166686</xdr:rowOff>
    </xdr:to>
    <xdr:graphicFrame macro="">
      <xdr:nvGraphicFramePr>
        <xdr:cNvPr id="14" name="Gráfico 13">
          <a:extLst>
            <a:ext uri="{FF2B5EF4-FFF2-40B4-BE49-F238E27FC236}">
              <a16:creationId xmlns:a16="http://schemas.microsoft.com/office/drawing/2014/main" id="{6C4A15FD-2033-45A9-A5A4-66B07C250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819150</xdr:colOff>
      <xdr:row>8</xdr:row>
      <xdr:rowOff>85724</xdr:rowOff>
    </xdr:from>
    <xdr:to>
      <xdr:col>32</xdr:col>
      <xdr:colOff>427831</xdr:colOff>
      <xdr:row>21</xdr:row>
      <xdr:rowOff>0</xdr:rowOff>
    </xdr:to>
    <xdr:graphicFrame macro="">
      <xdr:nvGraphicFramePr>
        <xdr:cNvPr id="21" name="Gráfico 20">
          <a:extLst>
            <a:ext uri="{FF2B5EF4-FFF2-40B4-BE49-F238E27FC236}">
              <a16:creationId xmlns:a16="http://schemas.microsoft.com/office/drawing/2014/main" id="{7B411965-D34C-445E-BE78-271748D7D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476250</xdr:colOff>
      <xdr:row>8</xdr:row>
      <xdr:rowOff>66675</xdr:rowOff>
    </xdr:from>
    <xdr:to>
      <xdr:col>37</xdr:col>
      <xdr:colOff>257970</xdr:colOff>
      <xdr:row>21</xdr:row>
      <xdr:rowOff>38100</xdr:rowOff>
    </xdr:to>
    <xdr:graphicFrame macro="">
      <xdr:nvGraphicFramePr>
        <xdr:cNvPr id="24" name="Gráfico 23">
          <a:extLst>
            <a:ext uri="{FF2B5EF4-FFF2-40B4-BE49-F238E27FC236}">
              <a16:creationId xmlns:a16="http://schemas.microsoft.com/office/drawing/2014/main" id="{0374F65D-8B10-4E4F-8AF3-6900059B9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323850</xdr:colOff>
      <xdr:row>8</xdr:row>
      <xdr:rowOff>44450</xdr:rowOff>
    </xdr:from>
    <xdr:to>
      <xdr:col>42</xdr:col>
      <xdr:colOff>225426</xdr:colOff>
      <xdr:row>21</xdr:row>
      <xdr:rowOff>57149</xdr:rowOff>
    </xdr:to>
    <xdr:graphicFrame macro="">
      <xdr:nvGraphicFramePr>
        <xdr:cNvPr id="27" name="Gráfico 26">
          <a:extLst>
            <a:ext uri="{FF2B5EF4-FFF2-40B4-BE49-F238E27FC236}">
              <a16:creationId xmlns:a16="http://schemas.microsoft.com/office/drawing/2014/main" id="{6E056611-1EB0-4189-BB79-55BF0BFDC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812800</xdr:colOff>
      <xdr:row>8</xdr:row>
      <xdr:rowOff>67734</xdr:rowOff>
    </xdr:from>
    <xdr:to>
      <xdr:col>51</xdr:col>
      <xdr:colOff>285750</xdr:colOff>
      <xdr:row>21</xdr:row>
      <xdr:rowOff>57149</xdr:rowOff>
    </xdr:to>
    <xdr:graphicFrame macro="">
      <xdr:nvGraphicFramePr>
        <xdr:cNvPr id="33" name="Gráfico 32">
          <a:extLst>
            <a:ext uri="{FF2B5EF4-FFF2-40B4-BE49-F238E27FC236}">
              <a16:creationId xmlns:a16="http://schemas.microsoft.com/office/drawing/2014/main" id="{B1272681-A2B0-46D7-9093-A6DBA5303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51</xdr:col>
      <xdr:colOff>323850</xdr:colOff>
      <xdr:row>8</xdr:row>
      <xdr:rowOff>38099</xdr:rowOff>
    </xdr:from>
    <xdr:to>
      <xdr:col>55</xdr:col>
      <xdr:colOff>533400</xdr:colOff>
      <xdr:row>21</xdr:row>
      <xdr:rowOff>19050</xdr:rowOff>
    </xdr:to>
    <xdr:graphicFrame macro="">
      <xdr:nvGraphicFramePr>
        <xdr:cNvPr id="36" name="Gráfico 35">
          <a:extLst>
            <a:ext uri="{FF2B5EF4-FFF2-40B4-BE49-F238E27FC236}">
              <a16:creationId xmlns:a16="http://schemas.microsoft.com/office/drawing/2014/main" id="{545EB11F-5F82-44CF-AE1E-D0C23C56D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57150</xdr:colOff>
      <xdr:row>64</xdr:row>
      <xdr:rowOff>71437</xdr:rowOff>
    </xdr:from>
    <xdr:to>
      <xdr:col>6</xdr:col>
      <xdr:colOff>95249</xdr:colOff>
      <xdr:row>77</xdr:row>
      <xdr:rowOff>95250</xdr:rowOff>
    </xdr:to>
    <xdr:graphicFrame macro="">
      <xdr:nvGraphicFramePr>
        <xdr:cNvPr id="54" name="Gráfico 53">
          <a:extLst>
            <a:ext uri="{FF2B5EF4-FFF2-40B4-BE49-F238E27FC236}">
              <a16:creationId xmlns:a16="http://schemas.microsoft.com/office/drawing/2014/main" id="{50F399B1-611D-4573-8DB7-4B93FBCC9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57149</xdr:colOff>
      <xdr:row>83</xdr:row>
      <xdr:rowOff>71437</xdr:rowOff>
    </xdr:from>
    <xdr:to>
      <xdr:col>6</xdr:col>
      <xdr:colOff>190499</xdr:colOff>
      <xdr:row>96</xdr:row>
      <xdr:rowOff>95251</xdr:rowOff>
    </xdr:to>
    <xdr:graphicFrame macro="">
      <xdr:nvGraphicFramePr>
        <xdr:cNvPr id="66" name="Gráfico 65">
          <a:extLst>
            <a:ext uri="{FF2B5EF4-FFF2-40B4-BE49-F238E27FC236}">
              <a16:creationId xmlns:a16="http://schemas.microsoft.com/office/drawing/2014/main" id="{D2227747-5682-4B84-979D-D28B0C6C8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57149</xdr:colOff>
      <xdr:row>103</xdr:row>
      <xdr:rowOff>23812</xdr:rowOff>
    </xdr:from>
    <xdr:to>
      <xdr:col>6</xdr:col>
      <xdr:colOff>166686</xdr:colOff>
      <xdr:row>115</xdr:row>
      <xdr:rowOff>166687</xdr:rowOff>
    </xdr:to>
    <xdr:graphicFrame macro="">
      <xdr:nvGraphicFramePr>
        <xdr:cNvPr id="78" name="Gráfico 77">
          <a:extLst>
            <a:ext uri="{FF2B5EF4-FFF2-40B4-BE49-F238E27FC236}">
              <a16:creationId xmlns:a16="http://schemas.microsoft.com/office/drawing/2014/main" id="{11A42AAD-2830-47E7-9789-2CFFFCAA5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57149</xdr:colOff>
      <xdr:row>122</xdr:row>
      <xdr:rowOff>166686</xdr:rowOff>
    </xdr:from>
    <xdr:to>
      <xdr:col>6</xdr:col>
      <xdr:colOff>190499</xdr:colOff>
      <xdr:row>136</xdr:row>
      <xdr:rowOff>119061</xdr:rowOff>
    </xdr:to>
    <xdr:graphicFrame macro="">
      <xdr:nvGraphicFramePr>
        <xdr:cNvPr id="90" name="Gráfico 89">
          <a:extLst>
            <a:ext uri="{FF2B5EF4-FFF2-40B4-BE49-F238E27FC236}">
              <a16:creationId xmlns:a16="http://schemas.microsoft.com/office/drawing/2014/main" id="{8A50B569-4B68-4F62-BA24-BEA379F51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57150</xdr:colOff>
      <xdr:row>141</xdr:row>
      <xdr:rowOff>166687</xdr:rowOff>
    </xdr:from>
    <xdr:to>
      <xdr:col>6</xdr:col>
      <xdr:colOff>119062</xdr:colOff>
      <xdr:row>154</xdr:row>
      <xdr:rowOff>166686</xdr:rowOff>
    </xdr:to>
    <xdr:graphicFrame macro="">
      <xdr:nvGraphicFramePr>
        <xdr:cNvPr id="114" name="Gráfico 113">
          <a:extLst>
            <a:ext uri="{FF2B5EF4-FFF2-40B4-BE49-F238E27FC236}">
              <a16:creationId xmlns:a16="http://schemas.microsoft.com/office/drawing/2014/main" id="{7622F1ED-54FC-40FB-9FEB-347A31814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57149</xdr:colOff>
      <xdr:row>161</xdr:row>
      <xdr:rowOff>23812</xdr:rowOff>
    </xdr:from>
    <xdr:to>
      <xdr:col>6</xdr:col>
      <xdr:colOff>23812</xdr:colOff>
      <xdr:row>173</xdr:row>
      <xdr:rowOff>119062</xdr:rowOff>
    </xdr:to>
    <xdr:graphicFrame macro="">
      <xdr:nvGraphicFramePr>
        <xdr:cNvPr id="126" name="Gráfico 125">
          <a:extLst>
            <a:ext uri="{FF2B5EF4-FFF2-40B4-BE49-F238E27FC236}">
              <a16:creationId xmlns:a16="http://schemas.microsoft.com/office/drawing/2014/main" id="{94BF7496-23FC-44A0-8630-7F5ACA567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57149</xdr:colOff>
      <xdr:row>181</xdr:row>
      <xdr:rowOff>169334</xdr:rowOff>
    </xdr:from>
    <xdr:to>
      <xdr:col>6</xdr:col>
      <xdr:colOff>84666</xdr:colOff>
      <xdr:row>194</xdr:row>
      <xdr:rowOff>119062</xdr:rowOff>
    </xdr:to>
    <xdr:graphicFrame macro="">
      <xdr:nvGraphicFramePr>
        <xdr:cNvPr id="138" name="Gráfico 137">
          <a:extLst>
            <a:ext uri="{FF2B5EF4-FFF2-40B4-BE49-F238E27FC236}">
              <a16:creationId xmlns:a16="http://schemas.microsoft.com/office/drawing/2014/main" id="{0DA1584B-3DA4-4DC6-BA70-577B0C677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57148</xdr:colOff>
      <xdr:row>200</xdr:row>
      <xdr:rowOff>71436</xdr:rowOff>
    </xdr:from>
    <xdr:to>
      <xdr:col>6</xdr:col>
      <xdr:colOff>169333</xdr:colOff>
      <xdr:row>213</xdr:row>
      <xdr:rowOff>119061</xdr:rowOff>
    </xdr:to>
    <xdr:graphicFrame macro="">
      <xdr:nvGraphicFramePr>
        <xdr:cNvPr id="150" name="Gráfico 149">
          <a:extLst>
            <a:ext uri="{FF2B5EF4-FFF2-40B4-BE49-F238E27FC236}">
              <a16:creationId xmlns:a16="http://schemas.microsoft.com/office/drawing/2014/main" id="{1A6C8CBE-BE34-4C7A-ACD7-774C9D021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57150</xdr:colOff>
      <xdr:row>219</xdr:row>
      <xdr:rowOff>119062</xdr:rowOff>
    </xdr:from>
    <xdr:to>
      <xdr:col>6</xdr:col>
      <xdr:colOff>238124</xdr:colOff>
      <xdr:row>232</xdr:row>
      <xdr:rowOff>166686</xdr:rowOff>
    </xdr:to>
    <xdr:graphicFrame macro="">
      <xdr:nvGraphicFramePr>
        <xdr:cNvPr id="162" name="Gráfico 161">
          <a:extLst>
            <a:ext uri="{FF2B5EF4-FFF2-40B4-BE49-F238E27FC236}">
              <a16:creationId xmlns:a16="http://schemas.microsoft.com/office/drawing/2014/main" id="{A599A219-50FF-42DB-8635-E28537C26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85724</xdr:colOff>
      <xdr:row>238</xdr:row>
      <xdr:rowOff>47625</xdr:rowOff>
    </xdr:from>
    <xdr:to>
      <xdr:col>6</xdr:col>
      <xdr:colOff>261937</xdr:colOff>
      <xdr:row>251</xdr:row>
      <xdr:rowOff>0</xdr:rowOff>
    </xdr:to>
    <xdr:graphicFrame macro="">
      <xdr:nvGraphicFramePr>
        <xdr:cNvPr id="177" name="Gráfico 176">
          <a:extLst>
            <a:ext uri="{FF2B5EF4-FFF2-40B4-BE49-F238E27FC236}">
              <a16:creationId xmlns:a16="http://schemas.microsoft.com/office/drawing/2014/main" id="{A38BFF8A-1FB8-4874-83D6-AD40E3134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33338</xdr:colOff>
      <xdr:row>257</xdr:row>
      <xdr:rowOff>95249</xdr:rowOff>
    </xdr:from>
    <xdr:to>
      <xdr:col>6</xdr:col>
      <xdr:colOff>357187</xdr:colOff>
      <xdr:row>270</xdr:row>
      <xdr:rowOff>119061</xdr:rowOff>
    </xdr:to>
    <xdr:graphicFrame macro="">
      <xdr:nvGraphicFramePr>
        <xdr:cNvPr id="178" name="Gráfico 177">
          <a:extLst>
            <a:ext uri="{FF2B5EF4-FFF2-40B4-BE49-F238E27FC236}">
              <a16:creationId xmlns:a16="http://schemas.microsoft.com/office/drawing/2014/main" id="{09C87609-B8E9-4B89-BDC4-943814CE4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57149</xdr:colOff>
      <xdr:row>276</xdr:row>
      <xdr:rowOff>71437</xdr:rowOff>
    </xdr:from>
    <xdr:to>
      <xdr:col>6</xdr:col>
      <xdr:colOff>452437</xdr:colOff>
      <xdr:row>289</xdr:row>
      <xdr:rowOff>47625</xdr:rowOff>
    </xdr:to>
    <xdr:graphicFrame macro="">
      <xdr:nvGraphicFramePr>
        <xdr:cNvPr id="198" name="Gráfico 197">
          <a:extLst>
            <a:ext uri="{FF2B5EF4-FFF2-40B4-BE49-F238E27FC236}">
              <a16:creationId xmlns:a16="http://schemas.microsoft.com/office/drawing/2014/main" id="{B07D5E49-6CCD-4ECF-A8B9-F25B24676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57149</xdr:colOff>
      <xdr:row>295</xdr:row>
      <xdr:rowOff>95250</xdr:rowOff>
    </xdr:from>
    <xdr:to>
      <xdr:col>6</xdr:col>
      <xdr:colOff>508000</xdr:colOff>
      <xdr:row>308</xdr:row>
      <xdr:rowOff>104775</xdr:rowOff>
    </xdr:to>
    <xdr:graphicFrame macro="">
      <xdr:nvGraphicFramePr>
        <xdr:cNvPr id="210" name="Gráfico 209">
          <a:extLst>
            <a:ext uri="{FF2B5EF4-FFF2-40B4-BE49-F238E27FC236}">
              <a16:creationId xmlns:a16="http://schemas.microsoft.com/office/drawing/2014/main" id="{266BFEF0-B410-4D65-B444-892BB8146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57149</xdr:colOff>
      <xdr:row>315</xdr:row>
      <xdr:rowOff>71437</xdr:rowOff>
    </xdr:from>
    <xdr:to>
      <xdr:col>6</xdr:col>
      <xdr:colOff>541866</xdr:colOff>
      <xdr:row>328</xdr:row>
      <xdr:rowOff>47625</xdr:rowOff>
    </xdr:to>
    <xdr:graphicFrame macro="">
      <xdr:nvGraphicFramePr>
        <xdr:cNvPr id="222" name="Gráfico 221">
          <a:extLst>
            <a:ext uri="{FF2B5EF4-FFF2-40B4-BE49-F238E27FC236}">
              <a16:creationId xmlns:a16="http://schemas.microsoft.com/office/drawing/2014/main" id="{F4E9CA07-5169-499B-9070-051B66CDA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57149</xdr:colOff>
      <xdr:row>335</xdr:row>
      <xdr:rowOff>47626</xdr:rowOff>
    </xdr:from>
    <xdr:to>
      <xdr:col>6</xdr:col>
      <xdr:colOff>508000</xdr:colOff>
      <xdr:row>347</xdr:row>
      <xdr:rowOff>166688</xdr:rowOff>
    </xdr:to>
    <xdr:graphicFrame macro="">
      <xdr:nvGraphicFramePr>
        <xdr:cNvPr id="234" name="Gráfico 233">
          <a:extLst>
            <a:ext uri="{FF2B5EF4-FFF2-40B4-BE49-F238E27FC236}">
              <a16:creationId xmlns:a16="http://schemas.microsoft.com/office/drawing/2014/main" id="{7629E16B-6D38-4ECC-A968-409219156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57150</xdr:colOff>
      <xdr:row>354</xdr:row>
      <xdr:rowOff>23812</xdr:rowOff>
    </xdr:from>
    <xdr:to>
      <xdr:col>6</xdr:col>
      <xdr:colOff>547688</xdr:colOff>
      <xdr:row>367</xdr:row>
      <xdr:rowOff>0</xdr:rowOff>
    </xdr:to>
    <xdr:graphicFrame macro="">
      <xdr:nvGraphicFramePr>
        <xdr:cNvPr id="246" name="Gráfico 245">
          <a:extLst>
            <a:ext uri="{FF2B5EF4-FFF2-40B4-BE49-F238E27FC236}">
              <a16:creationId xmlns:a16="http://schemas.microsoft.com/office/drawing/2014/main" id="{14362ED2-C14C-47A5-8322-BC3F30B67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57150</xdr:colOff>
      <xdr:row>372</xdr:row>
      <xdr:rowOff>23812</xdr:rowOff>
    </xdr:from>
    <xdr:to>
      <xdr:col>6</xdr:col>
      <xdr:colOff>541866</xdr:colOff>
      <xdr:row>384</xdr:row>
      <xdr:rowOff>203199</xdr:rowOff>
    </xdr:to>
    <xdr:graphicFrame macro="">
      <xdr:nvGraphicFramePr>
        <xdr:cNvPr id="258" name="Gráfico 257">
          <a:extLst>
            <a:ext uri="{FF2B5EF4-FFF2-40B4-BE49-F238E27FC236}">
              <a16:creationId xmlns:a16="http://schemas.microsoft.com/office/drawing/2014/main" id="{F47E10A8-8471-4AA1-ADC5-5DEB179D2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57151</xdr:colOff>
      <xdr:row>391</xdr:row>
      <xdr:rowOff>95251</xdr:rowOff>
    </xdr:from>
    <xdr:to>
      <xdr:col>6</xdr:col>
      <xdr:colOff>626534</xdr:colOff>
      <xdr:row>404</xdr:row>
      <xdr:rowOff>95250</xdr:rowOff>
    </xdr:to>
    <xdr:graphicFrame macro="">
      <xdr:nvGraphicFramePr>
        <xdr:cNvPr id="270" name="Gráfico 269">
          <a:extLst>
            <a:ext uri="{FF2B5EF4-FFF2-40B4-BE49-F238E27FC236}">
              <a16:creationId xmlns:a16="http://schemas.microsoft.com/office/drawing/2014/main" id="{BFB29F3D-1452-4E63-9908-C7365BE37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57149</xdr:colOff>
      <xdr:row>410</xdr:row>
      <xdr:rowOff>142875</xdr:rowOff>
    </xdr:from>
    <xdr:to>
      <xdr:col>6</xdr:col>
      <xdr:colOff>571499</xdr:colOff>
      <xdr:row>423</xdr:row>
      <xdr:rowOff>166687</xdr:rowOff>
    </xdr:to>
    <xdr:graphicFrame macro="">
      <xdr:nvGraphicFramePr>
        <xdr:cNvPr id="282" name="Gráfico 281">
          <a:extLst>
            <a:ext uri="{FF2B5EF4-FFF2-40B4-BE49-F238E27FC236}">
              <a16:creationId xmlns:a16="http://schemas.microsoft.com/office/drawing/2014/main" id="{B38066A2-8787-4F75-A8A1-900BBE7CB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57149</xdr:colOff>
      <xdr:row>429</xdr:row>
      <xdr:rowOff>0</xdr:rowOff>
    </xdr:from>
    <xdr:to>
      <xdr:col>6</xdr:col>
      <xdr:colOff>595312</xdr:colOff>
      <xdr:row>442</xdr:row>
      <xdr:rowOff>47625</xdr:rowOff>
    </xdr:to>
    <xdr:graphicFrame macro="">
      <xdr:nvGraphicFramePr>
        <xdr:cNvPr id="294" name="Gráfico 293">
          <a:extLst>
            <a:ext uri="{FF2B5EF4-FFF2-40B4-BE49-F238E27FC236}">
              <a16:creationId xmlns:a16="http://schemas.microsoft.com/office/drawing/2014/main" id="{BBD4C50D-5B09-4BB7-B71B-199B51D8D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57149</xdr:colOff>
      <xdr:row>448</xdr:row>
      <xdr:rowOff>119062</xdr:rowOff>
    </xdr:from>
    <xdr:to>
      <xdr:col>6</xdr:col>
      <xdr:colOff>571499</xdr:colOff>
      <xdr:row>461</xdr:row>
      <xdr:rowOff>47626</xdr:rowOff>
    </xdr:to>
    <xdr:graphicFrame macro="">
      <xdr:nvGraphicFramePr>
        <xdr:cNvPr id="306" name="Gráfico 305">
          <a:extLst>
            <a:ext uri="{FF2B5EF4-FFF2-40B4-BE49-F238E27FC236}">
              <a16:creationId xmlns:a16="http://schemas.microsoft.com/office/drawing/2014/main" id="{0920FFBD-2322-46DB-96A8-FB0A310FC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21167</xdr:colOff>
      <xdr:row>52</xdr:row>
      <xdr:rowOff>190500</xdr:rowOff>
    </xdr:from>
    <xdr:to>
      <xdr:col>0</xdr:col>
      <xdr:colOff>7556500</xdr:colOff>
      <xdr:row>75</xdr:row>
      <xdr:rowOff>121709</xdr:rowOff>
    </xdr:to>
    <xdr:graphicFrame macro="">
      <xdr:nvGraphicFramePr>
        <xdr:cNvPr id="2" name="Gráfico 1">
          <a:extLst>
            <a:ext uri="{FF2B5EF4-FFF2-40B4-BE49-F238E27FC236}">
              <a16:creationId xmlns:a16="http://schemas.microsoft.com/office/drawing/2014/main" id="{F8871850-D0C5-E84F-8B53-5F04B86BE2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0</xdr:col>
      <xdr:colOff>1272721</xdr:colOff>
      <xdr:row>1</xdr:row>
      <xdr:rowOff>154668</xdr:rowOff>
    </xdr:from>
    <xdr:to>
      <xdr:col>0</xdr:col>
      <xdr:colOff>5320451</xdr:colOff>
      <xdr:row>14</xdr:row>
      <xdr:rowOff>60778</xdr:rowOff>
    </xdr:to>
    <xdr:pic>
      <xdr:nvPicPr>
        <xdr:cNvPr id="316" name="Imagem 315">
          <a:extLst>
            <a:ext uri="{FF2B5EF4-FFF2-40B4-BE49-F238E27FC236}">
              <a16:creationId xmlns:a16="http://schemas.microsoft.com/office/drawing/2014/main" id="{E858D44F-9D9F-B342-B92B-8DC578EB7FBE}"/>
            </a:ext>
          </a:extLst>
        </xdr:cNvPr>
        <xdr:cNvPicPr>
          <a:picLocks noChangeAspect="1"/>
        </xdr:cNvPicPr>
      </xdr:nvPicPr>
      <xdr:blipFill>
        <a:blip xmlns:r="http://schemas.openxmlformats.org/officeDocument/2006/relationships" r:embed="rId32"/>
        <a:stretch>
          <a:fillRect/>
        </a:stretch>
      </xdr:blipFill>
      <xdr:spPr>
        <a:xfrm>
          <a:off x="1272721" y="364218"/>
          <a:ext cx="4047730" cy="2496910"/>
        </a:xfrm>
        <a:prstGeom prst="rect">
          <a:avLst/>
        </a:prstGeom>
      </xdr:spPr>
    </xdr:pic>
    <xdr:clientData/>
  </xdr:twoCellAnchor>
  <xdr:twoCellAnchor>
    <xdr:from>
      <xdr:col>6</xdr:col>
      <xdr:colOff>50800</xdr:colOff>
      <xdr:row>8</xdr:row>
      <xdr:rowOff>127000</xdr:rowOff>
    </xdr:from>
    <xdr:to>
      <xdr:col>10</xdr:col>
      <xdr:colOff>115359</xdr:colOff>
      <xdr:row>21</xdr:row>
      <xdr:rowOff>67734</xdr:rowOff>
    </xdr:to>
    <xdr:graphicFrame macro="">
      <xdr:nvGraphicFramePr>
        <xdr:cNvPr id="319" name="Gráfico 318">
          <a:extLst>
            <a:ext uri="{FF2B5EF4-FFF2-40B4-BE49-F238E27FC236}">
              <a16:creationId xmlns:a16="http://schemas.microsoft.com/office/drawing/2014/main" id="{8D71E268-7D7D-4547-A32D-CBA58DCF2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14</xdr:col>
      <xdr:colOff>323850</xdr:colOff>
      <xdr:row>8</xdr:row>
      <xdr:rowOff>133350</xdr:rowOff>
    </xdr:from>
    <xdr:to>
      <xdr:col>18</xdr:col>
      <xdr:colOff>590549</xdr:colOff>
      <xdr:row>21</xdr:row>
      <xdr:rowOff>0</xdr:rowOff>
    </xdr:to>
    <xdr:graphicFrame macro="">
      <xdr:nvGraphicFramePr>
        <xdr:cNvPr id="330" name="Gráfico 329">
          <a:extLst>
            <a:ext uri="{FF2B5EF4-FFF2-40B4-BE49-F238E27FC236}">
              <a16:creationId xmlns:a16="http://schemas.microsoft.com/office/drawing/2014/main" id="{E0767A20-4BB3-434B-9D0D-75534084E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628650</xdr:colOff>
      <xdr:row>8</xdr:row>
      <xdr:rowOff>133350</xdr:rowOff>
    </xdr:from>
    <xdr:to>
      <xdr:col>23</xdr:col>
      <xdr:colOff>174625</xdr:colOff>
      <xdr:row>21</xdr:row>
      <xdr:rowOff>19050</xdr:rowOff>
    </xdr:to>
    <xdr:graphicFrame macro="">
      <xdr:nvGraphicFramePr>
        <xdr:cNvPr id="331" name="Gráfico 330">
          <a:extLst>
            <a:ext uri="{FF2B5EF4-FFF2-40B4-BE49-F238E27FC236}">
              <a16:creationId xmlns:a16="http://schemas.microsoft.com/office/drawing/2014/main" id="{F6D9AA4E-6D38-4984-B991-5DA259EB5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23</xdr:col>
      <xdr:colOff>209550</xdr:colOff>
      <xdr:row>8</xdr:row>
      <xdr:rowOff>95250</xdr:rowOff>
    </xdr:from>
    <xdr:to>
      <xdr:col>27</xdr:col>
      <xdr:colOff>708025</xdr:colOff>
      <xdr:row>21</xdr:row>
      <xdr:rowOff>0</xdr:rowOff>
    </xdr:to>
    <xdr:graphicFrame macro="">
      <xdr:nvGraphicFramePr>
        <xdr:cNvPr id="332" name="Gráfico 331">
          <a:extLst>
            <a:ext uri="{FF2B5EF4-FFF2-40B4-BE49-F238E27FC236}">
              <a16:creationId xmlns:a16="http://schemas.microsoft.com/office/drawing/2014/main" id="{1751CD48-186F-4925-B4E2-E0A015402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42</xdr:col>
      <xdr:colOff>323850</xdr:colOff>
      <xdr:row>8</xdr:row>
      <xdr:rowOff>19050</xdr:rowOff>
    </xdr:from>
    <xdr:to>
      <xdr:col>46</xdr:col>
      <xdr:colOff>762000</xdr:colOff>
      <xdr:row>21</xdr:row>
      <xdr:rowOff>76199</xdr:rowOff>
    </xdr:to>
    <xdr:graphicFrame macro="">
      <xdr:nvGraphicFramePr>
        <xdr:cNvPr id="333" name="Gráfico 332">
          <a:extLst>
            <a:ext uri="{FF2B5EF4-FFF2-40B4-BE49-F238E27FC236}">
              <a16:creationId xmlns:a16="http://schemas.microsoft.com/office/drawing/2014/main" id="{7FFBFD20-0BA1-4878-AE4C-225B199D2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190500</xdr:colOff>
      <xdr:row>26</xdr:row>
      <xdr:rowOff>95250</xdr:rowOff>
    </xdr:from>
    <xdr:to>
      <xdr:col>14</xdr:col>
      <xdr:colOff>422275</xdr:colOff>
      <xdr:row>37</xdr:row>
      <xdr:rowOff>123825</xdr:rowOff>
    </xdr:to>
    <xdr:graphicFrame macro="">
      <xdr:nvGraphicFramePr>
        <xdr:cNvPr id="334" name="Gráfico 333">
          <a:extLst>
            <a:ext uri="{FF2B5EF4-FFF2-40B4-BE49-F238E27FC236}">
              <a16:creationId xmlns:a16="http://schemas.microsoft.com/office/drawing/2014/main" id="{794434A0-1521-4F06-8D0E-67862FF22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28</xdr:col>
      <xdr:colOff>114300</xdr:colOff>
      <xdr:row>26</xdr:row>
      <xdr:rowOff>66674</xdr:rowOff>
    </xdr:from>
    <xdr:to>
      <xdr:col>32</xdr:col>
      <xdr:colOff>580231</xdr:colOff>
      <xdr:row>37</xdr:row>
      <xdr:rowOff>123825</xdr:rowOff>
    </xdr:to>
    <xdr:graphicFrame macro="">
      <xdr:nvGraphicFramePr>
        <xdr:cNvPr id="335" name="Gráfico 334">
          <a:extLst>
            <a:ext uri="{FF2B5EF4-FFF2-40B4-BE49-F238E27FC236}">
              <a16:creationId xmlns:a16="http://schemas.microsoft.com/office/drawing/2014/main" id="{35757DDB-8583-4468-ABD8-9776515D0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32</xdr:col>
      <xdr:colOff>628650</xdr:colOff>
      <xdr:row>26</xdr:row>
      <xdr:rowOff>47625</xdr:rowOff>
    </xdr:from>
    <xdr:to>
      <xdr:col>37</xdr:col>
      <xdr:colOff>410370</xdr:colOff>
      <xdr:row>37</xdr:row>
      <xdr:rowOff>161925</xdr:rowOff>
    </xdr:to>
    <xdr:graphicFrame macro="">
      <xdr:nvGraphicFramePr>
        <xdr:cNvPr id="336" name="Gráfico 335">
          <a:extLst>
            <a:ext uri="{FF2B5EF4-FFF2-40B4-BE49-F238E27FC236}">
              <a16:creationId xmlns:a16="http://schemas.microsoft.com/office/drawing/2014/main" id="{4077D20D-0F83-41E7-BE97-CD716922E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37</xdr:col>
      <xdr:colOff>476250</xdr:colOff>
      <xdr:row>26</xdr:row>
      <xdr:rowOff>25400</xdr:rowOff>
    </xdr:from>
    <xdr:to>
      <xdr:col>42</xdr:col>
      <xdr:colOff>377826</xdr:colOff>
      <xdr:row>37</xdr:row>
      <xdr:rowOff>180974</xdr:rowOff>
    </xdr:to>
    <xdr:graphicFrame macro="">
      <xdr:nvGraphicFramePr>
        <xdr:cNvPr id="337" name="Gráfico 336">
          <a:extLst>
            <a:ext uri="{FF2B5EF4-FFF2-40B4-BE49-F238E27FC236}">
              <a16:creationId xmlns:a16="http://schemas.microsoft.com/office/drawing/2014/main" id="{ADA17545-BDF3-46B3-A753-A6FA255B3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47</xdr:col>
      <xdr:colOff>152399</xdr:colOff>
      <xdr:row>26</xdr:row>
      <xdr:rowOff>15082</xdr:rowOff>
    </xdr:from>
    <xdr:to>
      <xdr:col>51</xdr:col>
      <xdr:colOff>438150</xdr:colOff>
      <xdr:row>37</xdr:row>
      <xdr:rowOff>180974</xdr:rowOff>
    </xdr:to>
    <xdr:graphicFrame macro="">
      <xdr:nvGraphicFramePr>
        <xdr:cNvPr id="338" name="Gráfico 337">
          <a:extLst>
            <a:ext uri="{FF2B5EF4-FFF2-40B4-BE49-F238E27FC236}">
              <a16:creationId xmlns:a16="http://schemas.microsoft.com/office/drawing/2014/main" id="{DEB3BA55-A19F-430B-9AD2-3717FCCB8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51</xdr:col>
      <xdr:colOff>476250</xdr:colOff>
      <xdr:row>26</xdr:row>
      <xdr:rowOff>19049</xdr:rowOff>
    </xdr:from>
    <xdr:to>
      <xdr:col>55</xdr:col>
      <xdr:colOff>685800</xdr:colOff>
      <xdr:row>37</xdr:row>
      <xdr:rowOff>142875</xdr:rowOff>
    </xdr:to>
    <xdr:graphicFrame macro="">
      <xdr:nvGraphicFramePr>
        <xdr:cNvPr id="339" name="Gráfico 338">
          <a:extLst>
            <a:ext uri="{FF2B5EF4-FFF2-40B4-BE49-F238E27FC236}">
              <a16:creationId xmlns:a16="http://schemas.microsoft.com/office/drawing/2014/main" id="{013425A8-6227-4154-A24D-0D08D32FD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95250</xdr:colOff>
      <xdr:row>26</xdr:row>
      <xdr:rowOff>57150</xdr:rowOff>
    </xdr:from>
    <xdr:to>
      <xdr:col>10</xdr:col>
      <xdr:colOff>155575</xdr:colOff>
      <xdr:row>37</xdr:row>
      <xdr:rowOff>76200</xdr:rowOff>
    </xdr:to>
    <xdr:graphicFrame macro="">
      <xdr:nvGraphicFramePr>
        <xdr:cNvPr id="340" name="Gráfico 339">
          <a:extLst>
            <a:ext uri="{FF2B5EF4-FFF2-40B4-BE49-F238E27FC236}">
              <a16:creationId xmlns:a16="http://schemas.microsoft.com/office/drawing/2014/main" id="{C43E21A6-5F57-48AB-96B2-9E05EF986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476250</xdr:colOff>
      <xdr:row>26</xdr:row>
      <xdr:rowOff>114300</xdr:rowOff>
    </xdr:from>
    <xdr:to>
      <xdr:col>18</xdr:col>
      <xdr:colOff>742949</xdr:colOff>
      <xdr:row>37</xdr:row>
      <xdr:rowOff>123825</xdr:rowOff>
    </xdr:to>
    <xdr:graphicFrame macro="">
      <xdr:nvGraphicFramePr>
        <xdr:cNvPr id="341" name="Gráfico 340">
          <a:extLst>
            <a:ext uri="{FF2B5EF4-FFF2-40B4-BE49-F238E27FC236}">
              <a16:creationId xmlns:a16="http://schemas.microsoft.com/office/drawing/2014/main" id="{7ED5B6F1-5AA8-4326-A09A-7501A16BE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18</xdr:col>
      <xdr:colOff>781050</xdr:colOff>
      <xdr:row>26</xdr:row>
      <xdr:rowOff>114300</xdr:rowOff>
    </xdr:from>
    <xdr:to>
      <xdr:col>23</xdr:col>
      <xdr:colOff>327025</xdr:colOff>
      <xdr:row>37</xdr:row>
      <xdr:rowOff>142875</xdr:rowOff>
    </xdr:to>
    <xdr:graphicFrame macro="">
      <xdr:nvGraphicFramePr>
        <xdr:cNvPr id="342" name="Gráfico 341">
          <a:extLst>
            <a:ext uri="{FF2B5EF4-FFF2-40B4-BE49-F238E27FC236}">
              <a16:creationId xmlns:a16="http://schemas.microsoft.com/office/drawing/2014/main" id="{439BFE98-E1CE-40FF-979B-BD669D98E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361950</xdr:colOff>
      <xdr:row>26</xdr:row>
      <xdr:rowOff>76200</xdr:rowOff>
    </xdr:from>
    <xdr:to>
      <xdr:col>28</xdr:col>
      <xdr:colOff>3175</xdr:colOff>
      <xdr:row>37</xdr:row>
      <xdr:rowOff>123825</xdr:rowOff>
    </xdr:to>
    <xdr:graphicFrame macro="">
      <xdr:nvGraphicFramePr>
        <xdr:cNvPr id="343" name="Gráfico 342">
          <a:extLst>
            <a:ext uri="{FF2B5EF4-FFF2-40B4-BE49-F238E27FC236}">
              <a16:creationId xmlns:a16="http://schemas.microsoft.com/office/drawing/2014/main" id="{8A80C5E7-F4C3-4D2A-AB77-420CF52FF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42</xdr:col>
      <xdr:colOff>476250</xdr:colOff>
      <xdr:row>26</xdr:row>
      <xdr:rowOff>0</xdr:rowOff>
    </xdr:from>
    <xdr:to>
      <xdr:col>47</xdr:col>
      <xdr:colOff>57150</xdr:colOff>
      <xdr:row>37</xdr:row>
      <xdr:rowOff>200024</xdr:rowOff>
    </xdr:to>
    <xdr:graphicFrame macro="">
      <xdr:nvGraphicFramePr>
        <xdr:cNvPr id="344" name="Gráfico 343">
          <a:extLst>
            <a:ext uri="{FF2B5EF4-FFF2-40B4-BE49-F238E27FC236}">
              <a16:creationId xmlns:a16="http://schemas.microsoft.com/office/drawing/2014/main" id="{2EE3BA7A-6B7A-4732-A4F8-F5F2DC37E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285750</xdr:colOff>
      <xdr:row>46</xdr:row>
      <xdr:rowOff>47625</xdr:rowOff>
    </xdr:from>
    <xdr:to>
      <xdr:col>14</xdr:col>
      <xdr:colOff>517525</xdr:colOff>
      <xdr:row>58</xdr:row>
      <xdr:rowOff>28575</xdr:rowOff>
    </xdr:to>
    <xdr:graphicFrame macro="">
      <xdr:nvGraphicFramePr>
        <xdr:cNvPr id="345" name="Gráfico 344">
          <a:extLst>
            <a:ext uri="{FF2B5EF4-FFF2-40B4-BE49-F238E27FC236}">
              <a16:creationId xmlns:a16="http://schemas.microsoft.com/office/drawing/2014/main" id="{013D20C3-0192-45CE-92E6-9B4844C29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28</xdr:col>
      <xdr:colOff>209550</xdr:colOff>
      <xdr:row>46</xdr:row>
      <xdr:rowOff>19049</xdr:rowOff>
    </xdr:from>
    <xdr:to>
      <xdr:col>32</xdr:col>
      <xdr:colOff>675481</xdr:colOff>
      <xdr:row>58</xdr:row>
      <xdr:rowOff>28575</xdr:rowOff>
    </xdr:to>
    <xdr:graphicFrame macro="">
      <xdr:nvGraphicFramePr>
        <xdr:cNvPr id="346" name="Gráfico 345">
          <a:extLst>
            <a:ext uri="{FF2B5EF4-FFF2-40B4-BE49-F238E27FC236}">
              <a16:creationId xmlns:a16="http://schemas.microsoft.com/office/drawing/2014/main" id="{47F72417-6DFD-4D2A-BD75-9AFC89B56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32</xdr:col>
      <xdr:colOff>723900</xdr:colOff>
      <xdr:row>46</xdr:row>
      <xdr:rowOff>0</xdr:rowOff>
    </xdr:from>
    <xdr:to>
      <xdr:col>37</xdr:col>
      <xdr:colOff>505620</xdr:colOff>
      <xdr:row>58</xdr:row>
      <xdr:rowOff>66675</xdr:rowOff>
    </xdr:to>
    <xdr:graphicFrame macro="">
      <xdr:nvGraphicFramePr>
        <xdr:cNvPr id="347" name="Gráfico 346">
          <a:extLst>
            <a:ext uri="{FF2B5EF4-FFF2-40B4-BE49-F238E27FC236}">
              <a16:creationId xmlns:a16="http://schemas.microsoft.com/office/drawing/2014/main" id="{7A39112F-214F-4BA1-A2E1-61D09C39C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37</xdr:col>
      <xdr:colOff>571500</xdr:colOff>
      <xdr:row>45</xdr:row>
      <xdr:rowOff>168275</xdr:rowOff>
    </xdr:from>
    <xdr:to>
      <xdr:col>42</xdr:col>
      <xdr:colOff>473076</xdr:colOff>
      <xdr:row>58</xdr:row>
      <xdr:rowOff>85724</xdr:rowOff>
    </xdr:to>
    <xdr:graphicFrame macro="">
      <xdr:nvGraphicFramePr>
        <xdr:cNvPr id="348" name="Gráfico 347">
          <a:extLst>
            <a:ext uri="{FF2B5EF4-FFF2-40B4-BE49-F238E27FC236}">
              <a16:creationId xmlns:a16="http://schemas.microsoft.com/office/drawing/2014/main" id="{D414962B-E722-45FA-AB89-7572CD03D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47</xdr:col>
      <xdr:colOff>247649</xdr:colOff>
      <xdr:row>45</xdr:row>
      <xdr:rowOff>157957</xdr:rowOff>
    </xdr:from>
    <xdr:to>
      <xdr:col>51</xdr:col>
      <xdr:colOff>533400</xdr:colOff>
      <xdr:row>58</xdr:row>
      <xdr:rowOff>85724</xdr:rowOff>
    </xdr:to>
    <xdr:graphicFrame macro="">
      <xdr:nvGraphicFramePr>
        <xdr:cNvPr id="349" name="Gráfico 348">
          <a:extLst>
            <a:ext uri="{FF2B5EF4-FFF2-40B4-BE49-F238E27FC236}">
              <a16:creationId xmlns:a16="http://schemas.microsoft.com/office/drawing/2014/main" id="{511CA3C4-D275-4932-942D-E6061D5B4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51</xdr:col>
      <xdr:colOff>571500</xdr:colOff>
      <xdr:row>45</xdr:row>
      <xdr:rowOff>161924</xdr:rowOff>
    </xdr:from>
    <xdr:to>
      <xdr:col>55</xdr:col>
      <xdr:colOff>781050</xdr:colOff>
      <xdr:row>58</xdr:row>
      <xdr:rowOff>47625</xdr:rowOff>
    </xdr:to>
    <xdr:graphicFrame macro="">
      <xdr:nvGraphicFramePr>
        <xdr:cNvPr id="350" name="Gráfico 349">
          <a:extLst>
            <a:ext uri="{FF2B5EF4-FFF2-40B4-BE49-F238E27FC236}">
              <a16:creationId xmlns:a16="http://schemas.microsoft.com/office/drawing/2014/main" id="{91087809-54CC-406C-8196-E3E89394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xdr:col>
      <xdr:colOff>190500</xdr:colOff>
      <xdr:row>46</xdr:row>
      <xdr:rowOff>9525</xdr:rowOff>
    </xdr:from>
    <xdr:to>
      <xdr:col>10</xdr:col>
      <xdr:colOff>250825</xdr:colOff>
      <xdr:row>57</xdr:row>
      <xdr:rowOff>171450</xdr:rowOff>
    </xdr:to>
    <xdr:graphicFrame macro="">
      <xdr:nvGraphicFramePr>
        <xdr:cNvPr id="351" name="Gráfico 350">
          <a:extLst>
            <a:ext uri="{FF2B5EF4-FFF2-40B4-BE49-F238E27FC236}">
              <a16:creationId xmlns:a16="http://schemas.microsoft.com/office/drawing/2014/main" id="{6FBF885F-45D2-44D6-B83C-245EC63C6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14</xdr:col>
      <xdr:colOff>571500</xdr:colOff>
      <xdr:row>46</xdr:row>
      <xdr:rowOff>66675</xdr:rowOff>
    </xdr:from>
    <xdr:to>
      <xdr:col>18</xdr:col>
      <xdr:colOff>838199</xdr:colOff>
      <xdr:row>58</xdr:row>
      <xdr:rowOff>28575</xdr:rowOff>
    </xdr:to>
    <xdr:graphicFrame macro="">
      <xdr:nvGraphicFramePr>
        <xdr:cNvPr id="352" name="Gráfico 351">
          <a:extLst>
            <a:ext uri="{FF2B5EF4-FFF2-40B4-BE49-F238E27FC236}">
              <a16:creationId xmlns:a16="http://schemas.microsoft.com/office/drawing/2014/main" id="{B5DE3C15-6CEF-47D7-A986-ECC471FA9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19</xdr:col>
      <xdr:colOff>19050</xdr:colOff>
      <xdr:row>46</xdr:row>
      <xdr:rowOff>66675</xdr:rowOff>
    </xdr:from>
    <xdr:to>
      <xdr:col>23</xdr:col>
      <xdr:colOff>422275</xdr:colOff>
      <xdr:row>58</xdr:row>
      <xdr:rowOff>47625</xdr:rowOff>
    </xdr:to>
    <xdr:graphicFrame macro="">
      <xdr:nvGraphicFramePr>
        <xdr:cNvPr id="353" name="Gráfico 352">
          <a:extLst>
            <a:ext uri="{FF2B5EF4-FFF2-40B4-BE49-F238E27FC236}">
              <a16:creationId xmlns:a16="http://schemas.microsoft.com/office/drawing/2014/main" id="{4F94D17F-AB4D-4ED0-9015-3C393A9F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23</xdr:col>
      <xdr:colOff>457200</xdr:colOff>
      <xdr:row>46</xdr:row>
      <xdr:rowOff>28575</xdr:rowOff>
    </xdr:from>
    <xdr:to>
      <xdr:col>28</xdr:col>
      <xdr:colOff>98425</xdr:colOff>
      <xdr:row>58</xdr:row>
      <xdr:rowOff>28575</xdr:rowOff>
    </xdr:to>
    <xdr:graphicFrame macro="">
      <xdr:nvGraphicFramePr>
        <xdr:cNvPr id="354" name="Gráfico 353">
          <a:extLst>
            <a:ext uri="{FF2B5EF4-FFF2-40B4-BE49-F238E27FC236}">
              <a16:creationId xmlns:a16="http://schemas.microsoft.com/office/drawing/2014/main" id="{27F5F54A-BD51-4243-A059-9567494B7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42</xdr:col>
      <xdr:colOff>571500</xdr:colOff>
      <xdr:row>45</xdr:row>
      <xdr:rowOff>142875</xdr:rowOff>
    </xdr:from>
    <xdr:to>
      <xdr:col>47</xdr:col>
      <xdr:colOff>152400</xdr:colOff>
      <xdr:row>58</xdr:row>
      <xdr:rowOff>104774</xdr:rowOff>
    </xdr:to>
    <xdr:graphicFrame macro="">
      <xdr:nvGraphicFramePr>
        <xdr:cNvPr id="355" name="Gráfico 354">
          <a:extLst>
            <a:ext uri="{FF2B5EF4-FFF2-40B4-BE49-F238E27FC236}">
              <a16:creationId xmlns:a16="http://schemas.microsoft.com/office/drawing/2014/main" id="{62838FDA-6A5E-4D0A-87CB-CF3684A5E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xdr:col>
      <xdr:colOff>285750</xdr:colOff>
      <xdr:row>64</xdr:row>
      <xdr:rowOff>142875</xdr:rowOff>
    </xdr:from>
    <xdr:to>
      <xdr:col>14</xdr:col>
      <xdr:colOff>517525</xdr:colOff>
      <xdr:row>77</xdr:row>
      <xdr:rowOff>171450</xdr:rowOff>
    </xdr:to>
    <xdr:graphicFrame macro="">
      <xdr:nvGraphicFramePr>
        <xdr:cNvPr id="356" name="Gráfico 355">
          <a:extLst>
            <a:ext uri="{FF2B5EF4-FFF2-40B4-BE49-F238E27FC236}">
              <a16:creationId xmlns:a16="http://schemas.microsoft.com/office/drawing/2014/main" id="{FDACD47A-22F2-4AFA-8F02-EAEC63D4B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28</xdr:col>
      <xdr:colOff>209550</xdr:colOff>
      <xdr:row>64</xdr:row>
      <xdr:rowOff>114299</xdr:rowOff>
    </xdr:from>
    <xdr:to>
      <xdr:col>32</xdr:col>
      <xdr:colOff>675481</xdr:colOff>
      <xdr:row>77</xdr:row>
      <xdr:rowOff>171450</xdr:rowOff>
    </xdr:to>
    <xdr:graphicFrame macro="">
      <xdr:nvGraphicFramePr>
        <xdr:cNvPr id="357" name="Gráfico 356">
          <a:extLst>
            <a:ext uri="{FF2B5EF4-FFF2-40B4-BE49-F238E27FC236}">
              <a16:creationId xmlns:a16="http://schemas.microsoft.com/office/drawing/2014/main" id="{047C9701-A4AE-4742-8C2C-454A531A7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32</xdr:col>
      <xdr:colOff>723900</xdr:colOff>
      <xdr:row>64</xdr:row>
      <xdr:rowOff>95250</xdr:rowOff>
    </xdr:from>
    <xdr:to>
      <xdr:col>37</xdr:col>
      <xdr:colOff>505620</xdr:colOff>
      <xdr:row>78</xdr:row>
      <xdr:rowOff>19050</xdr:rowOff>
    </xdr:to>
    <xdr:graphicFrame macro="">
      <xdr:nvGraphicFramePr>
        <xdr:cNvPr id="358" name="Gráfico 357">
          <a:extLst>
            <a:ext uri="{FF2B5EF4-FFF2-40B4-BE49-F238E27FC236}">
              <a16:creationId xmlns:a16="http://schemas.microsoft.com/office/drawing/2014/main" id="{B9EDE11D-55A8-4221-AB33-638252A35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37</xdr:col>
      <xdr:colOff>571500</xdr:colOff>
      <xdr:row>64</xdr:row>
      <xdr:rowOff>73025</xdr:rowOff>
    </xdr:from>
    <xdr:to>
      <xdr:col>42</xdr:col>
      <xdr:colOff>473076</xdr:colOff>
      <xdr:row>78</xdr:row>
      <xdr:rowOff>38099</xdr:rowOff>
    </xdr:to>
    <xdr:graphicFrame macro="">
      <xdr:nvGraphicFramePr>
        <xdr:cNvPr id="359" name="Gráfico 358">
          <a:extLst>
            <a:ext uri="{FF2B5EF4-FFF2-40B4-BE49-F238E27FC236}">
              <a16:creationId xmlns:a16="http://schemas.microsoft.com/office/drawing/2014/main" id="{4ED8013D-3218-4DDD-A219-61386B50F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47</xdr:col>
      <xdr:colOff>247649</xdr:colOff>
      <xdr:row>64</xdr:row>
      <xdr:rowOff>62707</xdr:rowOff>
    </xdr:from>
    <xdr:to>
      <xdr:col>51</xdr:col>
      <xdr:colOff>533400</xdr:colOff>
      <xdr:row>78</xdr:row>
      <xdr:rowOff>38099</xdr:rowOff>
    </xdr:to>
    <xdr:graphicFrame macro="">
      <xdr:nvGraphicFramePr>
        <xdr:cNvPr id="360" name="Gráfico 359">
          <a:extLst>
            <a:ext uri="{FF2B5EF4-FFF2-40B4-BE49-F238E27FC236}">
              <a16:creationId xmlns:a16="http://schemas.microsoft.com/office/drawing/2014/main" id="{B4EFE553-5A93-424D-B0E3-4F80EC77D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51</xdr:col>
      <xdr:colOff>571500</xdr:colOff>
      <xdr:row>64</xdr:row>
      <xdr:rowOff>66674</xdr:rowOff>
    </xdr:from>
    <xdr:to>
      <xdr:col>55</xdr:col>
      <xdr:colOff>781050</xdr:colOff>
      <xdr:row>78</xdr:row>
      <xdr:rowOff>0</xdr:rowOff>
    </xdr:to>
    <xdr:graphicFrame macro="">
      <xdr:nvGraphicFramePr>
        <xdr:cNvPr id="361" name="Gráfico 360">
          <a:extLst>
            <a:ext uri="{FF2B5EF4-FFF2-40B4-BE49-F238E27FC236}">
              <a16:creationId xmlns:a16="http://schemas.microsoft.com/office/drawing/2014/main" id="{889E1ADF-5FAB-432D-96E1-9F807624F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190500</xdr:colOff>
      <xdr:row>64</xdr:row>
      <xdr:rowOff>104775</xdr:rowOff>
    </xdr:from>
    <xdr:to>
      <xdr:col>10</xdr:col>
      <xdr:colOff>250825</xdr:colOff>
      <xdr:row>77</xdr:row>
      <xdr:rowOff>123825</xdr:rowOff>
    </xdr:to>
    <xdr:graphicFrame macro="">
      <xdr:nvGraphicFramePr>
        <xdr:cNvPr id="362" name="Gráfico 361">
          <a:extLst>
            <a:ext uri="{FF2B5EF4-FFF2-40B4-BE49-F238E27FC236}">
              <a16:creationId xmlns:a16="http://schemas.microsoft.com/office/drawing/2014/main" id="{0FF2CF79-97E3-460F-83A4-567FC5EF3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14</xdr:col>
      <xdr:colOff>571500</xdr:colOff>
      <xdr:row>64</xdr:row>
      <xdr:rowOff>161925</xdr:rowOff>
    </xdr:from>
    <xdr:to>
      <xdr:col>18</xdr:col>
      <xdr:colOff>838199</xdr:colOff>
      <xdr:row>77</xdr:row>
      <xdr:rowOff>171450</xdr:rowOff>
    </xdr:to>
    <xdr:graphicFrame macro="">
      <xdr:nvGraphicFramePr>
        <xdr:cNvPr id="363" name="Gráfico 362">
          <a:extLst>
            <a:ext uri="{FF2B5EF4-FFF2-40B4-BE49-F238E27FC236}">
              <a16:creationId xmlns:a16="http://schemas.microsoft.com/office/drawing/2014/main" id="{FC95C0A0-49DE-4F98-AF1E-3917C0040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19</xdr:col>
      <xdr:colOff>19050</xdr:colOff>
      <xdr:row>64</xdr:row>
      <xdr:rowOff>161925</xdr:rowOff>
    </xdr:from>
    <xdr:to>
      <xdr:col>23</xdr:col>
      <xdr:colOff>422275</xdr:colOff>
      <xdr:row>78</xdr:row>
      <xdr:rowOff>0</xdr:rowOff>
    </xdr:to>
    <xdr:graphicFrame macro="">
      <xdr:nvGraphicFramePr>
        <xdr:cNvPr id="364" name="Gráfico 363">
          <a:extLst>
            <a:ext uri="{FF2B5EF4-FFF2-40B4-BE49-F238E27FC236}">
              <a16:creationId xmlns:a16="http://schemas.microsoft.com/office/drawing/2014/main" id="{B8D2BFFB-DD21-457D-8B5A-CFCE324A7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23</xdr:col>
      <xdr:colOff>457200</xdr:colOff>
      <xdr:row>64</xdr:row>
      <xdr:rowOff>123825</xdr:rowOff>
    </xdr:from>
    <xdr:to>
      <xdr:col>28</xdr:col>
      <xdr:colOff>98425</xdr:colOff>
      <xdr:row>77</xdr:row>
      <xdr:rowOff>171450</xdr:rowOff>
    </xdr:to>
    <xdr:graphicFrame macro="">
      <xdr:nvGraphicFramePr>
        <xdr:cNvPr id="365" name="Gráfico 364">
          <a:extLst>
            <a:ext uri="{FF2B5EF4-FFF2-40B4-BE49-F238E27FC236}">
              <a16:creationId xmlns:a16="http://schemas.microsoft.com/office/drawing/2014/main" id="{F6178FE5-E843-4F3A-93FA-AF1712827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42</xdr:col>
      <xdr:colOff>571500</xdr:colOff>
      <xdr:row>64</xdr:row>
      <xdr:rowOff>47625</xdr:rowOff>
    </xdr:from>
    <xdr:to>
      <xdr:col>47</xdr:col>
      <xdr:colOff>152400</xdr:colOff>
      <xdr:row>78</xdr:row>
      <xdr:rowOff>57149</xdr:rowOff>
    </xdr:to>
    <xdr:graphicFrame macro="">
      <xdr:nvGraphicFramePr>
        <xdr:cNvPr id="366" name="Gráfico 365">
          <a:extLst>
            <a:ext uri="{FF2B5EF4-FFF2-40B4-BE49-F238E27FC236}">
              <a16:creationId xmlns:a16="http://schemas.microsoft.com/office/drawing/2014/main" id="{489791D6-A3A6-4981-8154-ECB9029F5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10</xdr:col>
      <xdr:colOff>333375</xdr:colOff>
      <xdr:row>83</xdr:row>
      <xdr:rowOff>95250</xdr:rowOff>
    </xdr:from>
    <xdr:to>
      <xdr:col>14</xdr:col>
      <xdr:colOff>565150</xdr:colOff>
      <xdr:row>96</xdr:row>
      <xdr:rowOff>123825</xdr:rowOff>
    </xdr:to>
    <xdr:graphicFrame macro="">
      <xdr:nvGraphicFramePr>
        <xdr:cNvPr id="367" name="Gráfico 366">
          <a:extLst>
            <a:ext uri="{FF2B5EF4-FFF2-40B4-BE49-F238E27FC236}">
              <a16:creationId xmlns:a16="http://schemas.microsoft.com/office/drawing/2014/main" id="{8DF4010C-A16B-4C16-AD74-32B42F7B5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28</xdr:col>
      <xdr:colOff>257175</xdr:colOff>
      <xdr:row>83</xdr:row>
      <xdr:rowOff>66674</xdr:rowOff>
    </xdr:from>
    <xdr:to>
      <xdr:col>32</xdr:col>
      <xdr:colOff>723106</xdr:colOff>
      <xdr:row>96</xdr:row>
      <xdr:rowOff>123825</xdr:rowOff>
    </xdr:to>
    <xdr:graphicFrame macro="">
      <xdr:nvGraphicFramePr>
        <xdr:cNvPr id="368" name="Gráfico 367">
          <a:extLst>
            <a:ext uri="{FF2B5EF4-FFF2-40B4-BE49-F238E27FC236}">
              <a16:creationId xmlns:a16="http://schemas.microsoft.com/office/drawing/2014/main" id="{09E65769-C567-4353-B49C-C287C28A5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32</xdr:col>
      <xdr:colOff>771525</xdr:colOff>
      <xdr:row>83</xdr:row>
      <xdr:rowOff>47625</xdr:rowOff>
    </xdr:from>
    <xdr:to>
      <xdr:col>37</xdr:col>
      <xdr:colOff>553245</xdr:colOff>
      <xdr:row>96</xdr:row>
      <xdr:rowOff>161925</xdr:rowOff>
    </xdr:to>
    <xdr:graphicFrame macro="">
      <xdr:nvGraphicFramePr>
        <xdr:cNvPr id="369" name="Gráfico 368">
          <a:extLst>
            <a:ext uri="{FF2B5EF4-FFF2-40B4-BE49-F238E27FC236}">
              <a16:creationId xmlns:a16="http://schemas.microsoft.com/office/drawing/2014/main" id="{B567B15E-C6FB-4ADF-8515-D196E5634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37</xdr:col>
      <xdr:colOff>619125</xdr:colOff>
      <xdr:row>83</xdr:row>
      <xdr:rowOff>25400</xdr:rowOff>
    </xdr:from>
    <xdr:to>
      <xdr:col>42</xdr:col>
      <xdr:colOff>520701</xdr:colOff>
      <xdr:row>96</xdr:row>
      <xdr:rowOff>180974</xdr:rowOff>
    </xdr:to>
    <xdr:graphicFrame macro="">
      <xdr:nvGraphicFramePr>
        <xdr:cNvPr id="370" name="Gráfico 369">
          <a:extLst>
            <a:ext uri="{FF2B5EF4-FFF2-40B4-BE49-F238E27FC236}">
              <a16:creationId xmlns:a16="http://schemas.microsoft.com/office/drawing/2014/main" id="{9AF7C88B-0947-4048-BA2F-B753C3F06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47</xdr:col>
      <xdr:colOff>295274</xdr:colOff>
      <xdr:row>83</xdr:row>
      <xdr:rowOff>15082</xdr:rowOff>
    </xdr:from>
    <xdr:to>
      <xdr:col>51</xdr:col>
      <xdr:colOff>581025</xdr:colOff>
      <xdr:row>96</xdr:row>
      <xdr:rowOff>180974</xdr:rowOff>
    </xdr:to>
    <xdr:graphicFrame macro="">
      <xdr:nvGraphicFramePr>
        <xdr:cNvPr id="371" name="Gráfico 370">
          <a:extLst>
            <a:ext uri="{FF2B5EF4-FFF2-40B4-BE49-F238E27FC236}">
              <a16:creationId xmlns:a16="http://schemas.microsoft.com/office/drawing/2014/main" id="{525811AA-FBD7-4DCC-AAED-7AD9D676C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51</xdr:col>
      <xdr:colOff>619125</xdr:colOff>
      <xdr:row>83</xdr:row>
      <xdr:rowOff>19049</xdr:rowOff>
    </xdr:from>
    <xdr:to>
      <xdr:col>55</xdr:col>
      <xdr:colOff>828675</xdr:colOff>
      <xdr:row>96</xdr:row>
      <xdr:rowOff>142875</xdr:rowOff>
    </xdr:to>
    <xdr:graphicFrame macro="">
      <xdr:nvGraphicFramePr>
        <xdr:cNvPr id="372" name="Gráfico 371">
          <a:extLst>
            <a:ext uri="{FF2B5EF4-FFF2-40B4-BE49-F238E27FC236}">
              <a16:creationId xmlns:a16="http://schemas.microsoft.com/office/drawing/2014/main" id="{27ABF2BD-D112-47C5-ADFF-A4AB047FD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6</xdr:col>
      <xdr:colOff>238125</xdr:colOff>
      <xdr:row>83</xdr:row>
      <xdr:rowOff>57150</xdr:rowOff>
    </xdr:from>
    <xdr:to>
      <xdr:col>10</xdr:col>
      <xdr:colOff>298450</xdr:colOff>
      <xdr:row>96</xdr:row>
      <xdr:rowOff>76200</xdr:rowOff>
    </xdr:to>
    <xdr:graphicFrame macro="">
      <xdr:nvGraphicFramePr>
        <xdr:cNvPr id="373" name="Gráfico 372">
          <a:extLst>
            <a:ext uri="{FF2B5EF4-FFF2-40B4-BE49-F238E27FC236}">
              <a16:creationId xmlns:a16="http://schemas.microsoft.com/office/drawing/2014/main" id="{A88EE82D-C4F9-4767-915A-62E8CB99D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14</xdr:col>
      <xdr:colOff>619125</xdr:colOff>
      <xdr:row>83</xdr:row>
      <xdr:rowOff>114300</xdr:rowOff>
    </xdr:from>
    <xdr:to>
      <xdr:col>19</xdr:col>
      <xdr:colOff>28574</xdr:colOff>
      <xdr:row>96</xdr:row>
      <xdr:rowOff>123825</xdr:rowOff>
    </xdr:to>
    <xdr:graphicFrame macro="">
      <xdr:nvGraphicFramePr>
        <xdr:cNvPr id="374" name="Gráfico 373">
          <a:extLst>
            <a:ext uri="{FF2B5EF4-FFF2-40B4-BE49-F238E27FC236}">
              <a16:creationId xmlns:a16="http://schemas.microsoft.com/office/drawing/2014/main" id="{A3AC9457-12F7-4067-917C-BDDAAF1DE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19</xdr:col>
      <xdr:colOff>66675</xdr:colOff>
      <xdr:row>83</xdr:row>
      <xdr:rowOff>114300</xdr:rowOff>
    </xdr:from>
    <xdr:to>
      <xdr:col>23</xdr:col>
      <xdr:colOff>469900</xdr:colOff>
      <xdr:row>96</xdr:row>
      <xdr:rowOff>142875</xdr:rowOff>
    </xdr:to>
    <xdr:graphicFrame macro="">
      <xdr:nvGraphicFramePr>
        <xdr:cNvPr id="375" name="Gráfico 374">
          <a:extLst>
            <a:ext uri="{FF2B5EF4-FFF2-40B4-BE49-F238E27FC236}">
              <a16:creationId xmlns:a16="http://schemas.microsoft.com/office/drawing/2014/main" id="{9085B66F-EC80-423C-AF0B-CDD175A0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23</xdr:col>
      <xdr:colOff>504825</xdr:colOff>
      <xdr:row>83</xdr:row>
      <xdr:rowOff>76200</xdr:rowOff>
    </xdr:from>
    <xdr:to>
      <xdr:col>28</xdr:col>
      <xdr:colOff>146050</xdr:colOff>
      <xdr:row>96</xdr:row>
      <xdr:rowOff>123825</xdr:rowOff>
    </xdr:to>
    <xdr:graphicFrame macro="">
      <xdr:nvGraphicFramePr>
        <xdr:cNvPr id="376" name="Gráfico 375">
          <a:extLst>
            <a:ext uri="{FF2B5EF4-FFF2-40B4-BE49-F238E27FC236}">
              <a16:creationId xmlns:a16="http://schemas.microsoft.com/office/drawing/2014/main" id="{93525A25-BF69-43CA-A48A-4C6CA54B6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42</xdr:col>
      <xdr:colOff>619125</xdr:colOff>
      <xdr:row>83</xdr:row>
      <xdr:rowOff>0</xdr:rowOff>
    </xdr:from>
    <xdr:to>
      <xdr:col>47</xdr:col>
      <xdr:colOff>200025</xdr:colOff>
      <xdr:row>97</xdr:row>
      <xdr:rowOff>9524</xdr:rowOff>
    </xdr:to>
    <xdr:graphicFrame macro="">
      <xdr:nvGraphicFramePr>
        <xdr:cNvPr id="377" name="Gráfico 376">
          <a:extLst>
            <a:ext uri="{FF2B5EF4-FFF2-40B4-BE49-F238E27FC236}">
              <a16:creationId xmlns:a16="http://schemas.microsoft.com/office/drawing/2014/main" id="{A1E5C9B9-8A62-4884-8D58-74D774065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10</xdr:col>
      <xdr:colOff>333375</xdr:colOff>
      <xdr:row>103</xdr:row>
      <xdr:rowOff>47625</xdr:rowOff>
    </xdr:from>
    <xdr:to>
      <xdr:col>14</xdr:col>
      <xdr:colOff>565150</xdr:colOff>
      <xdr:row>116</xdr:row>
      <xdr:rowOff>76200</xdr:rowOff>
    </xdr:to>
    <xdr:graphicFrame macro="">
      <xdr:nvGraphicFramePr>
        <xdr:cNvPr id="378" name="Gráfico 377">
          <a:extLst>
            <a:ext uri="{FF2B5EF4-FFF2-40B4-BE49-F238E27FC236}">
              <a16:creationId xmlns:a16="http://schemas.microsoft.com/office/drawing/2014/main" id="{F26CB325-6A6E-47ED-A2BF-C34C91CD2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28</xdr:col>
      <xdr:colOff>257175</xdr:colOff>
      <xdr:row>103</xdr:row>
      <xdr:rowOff>19049</xdr:rowOff>
    </xdr:from>
    <xdr:to>
      <xdr:col>32</xdr:col>
      <xdr:colOff>723106</xdr:colOff>
      <xdr:row>116</xdr:row>
      <xdr:rowOff>76200</xdr:rowOff>
    </xdr:to>
    <xdr:graphicFrame macro="">
      <xdr:nvGraphicFramePr>
        <xdr:cNvPr id="379" name="Gráfico 378">
          <a:extLst>
            <a:ext uri="{FF2B5EF4-FFF2-40B4-BE49-F238E27FC236}">
              <a16:creationId xmlns:a16="http://schemas.microsoft.com/office/drawing/2014/main" id="{B383AF22-FDDE-48C0-9AED-AEA350E05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32</xdr:col>
      <xdr:colOff>771525</xdr:colOff>
      <xdr:row>103</xdr:row>
      <xdr:rowOff>0</xdr:rowOff>
    </xdr:from>
    <xdr:to>
      <xdr:col>37</xdr:col>
      <xdr:colOff>553245</xdr:colOff>
      <xdr:row>116</xdr:row>
      <xdr:rowOff>114300</xdr:rowOff>
    </xdr:to>
    <xdr:graphicFrame macro="">
      <xdr:nvGraphicFramePr>
        <xdr:cNvPr id="380" name="Gráfico 379">
          <a:extLst>
            <a:ext uri="{FF2B5EF4-FFF2-40B4-BE49-F238E27FC236}">
              <a16:creationId xmlns:a16="http://schemas.microsoft.com/office/drawing/2014/main" id="{427FAD5C-3DA4-4AC6-BD79-09019E27B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37</xdr:col>
      <xdr:colOff>619125</xdr:colOff>
      <xdr:row>102</xdr:row>
      <xdr:rowOff>168275</xdr:rowOff>
    </xdr:from>
    <xdr:to>
      <xdr:col>42</xdr:col>
      <xdr:colOff>520701</xdr:colOff>
      <xdr:row>116</xdr:row>
      <xdr:rowOff>133349</xdr:rowOff>
    </xdr:to>
    <xdr:graphicFrame macro="">
      <xdr:nvGraphicFramePr>
        <xdr:cNvPr id="381" name="Gráfico 380">
          <a:extLst>
            <a:ext uri="{FF2B5EF4-FFF2-40B4-BE49-F238E27FC236}">
              <a16:creationId xmlns:a16="http://schemas.microsoft.com/office/drawing/2014/main" id="{558EC010-9885-40B8-B542-00DCFACC6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47</xdr:col>
      <xdr:colOff>295274</xdr:colOff>
      <xdr:row>102</xdr:row>
      <xdr:rowOff>157957</xdr:rowOff>
    </xdr:from>
    <xdr:to>
      <xdr:col>51</xdr:col>
      <xdr:colOff>581025</xdr:colOff>
      <xdr:row>116</xdr:row>
      <xdr:rowOff>133349</xdr:rowOff>
    </xdr:to>
    <xdr:graphicFrame macro="">
      <xdr:nvGraphicFramePr>
        <xdr:cNvPr id="382" name="Gráfico 381">
          <a:extLst>
            <a:ext uri="{FF2B5EF4-FFF2-40B4-BE49-F238E27FC236}">
              <a16:creationId xmlns:a16="http://schemas.microsoft.com/office/drawing/2014/main" id="{8BBC8906-CACE-412E-AF6A-00820F3DA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51</xdr:col>
      <xdr:colOff>619125</xdr:colOff>
      <xdr:row>102</xdr:row>
      <xdr:rowOff>161924</xdr:rowOff>
    </xdr:from>
    <xdr:to>
      <xdr:col>55</xdr:col>
      <xdr:colOff>828675</xdr:colOff>
      <xdr:row>116</xdr:row>
      <xdr:rowOff>95250</xdr:rowOff>
    </xdr:to>
    <xdr:graphicFrame macro="">
      <xdr:nvGraphicFramePr>
        <xdr:cNvPr id="383" name="Gráfico 382">
          <a:extLst>
            <a:ext uri="{FF2B5EF4-FFF2-40B4-BE49-F238E27FC236}">
              <a16:creationId xmlns:a16="http://schemas.microsoft.com/office/drawing/2014/main" id="{A91E1356-71DB-4F24-B101-3465E97FA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6</xdr:col>
      <xdr:colOff>238125</xdr:colOff>
      <xdr:row>103</xdr:row>
      <xdr:rowOff>9525</xdr:rowOff>
    </xdr:from>
    <xdr:to>
      <xdr:col>10</xdr:col>
      <xdr:colOff>298450</xdr:colOff>
      <xdr:row>116</xdr:row>
      <xdr:rowOff>28575</xdr:rowOff>
    </xdr:to>
    <xdr:graphicFrame macro="">
      <xdr:nvGraphicFramePr>
        <xdr:cNvPr id="384" name="Gráfico 383">
          <a:extLst>
            <a:ext uri="{FF2B5EF4-FFF2-40B4-BE49-F238E27FC236}">
              <a16:creationId xmlns:a16="http://schemas.microsoft.com/office/drawing/2014/main" id="{DDDBB714-964B-4B90-B228-078383E8A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14</xdr:col>
      <xdr:colOff>619125</xdr:colOff>
      <xdr:row>103</xdr:row>
      <xdr:rowOff>66675</xdr:rowOff>
    </xdr:from>
    <xdr:to>
      <xdr:col>19</xdr:col>
      <xdr:colOff>28574</xdr:colOff>
      <xdr:row>116</xdr:row>
      <xdr:rowOff>76200</xdr:rowOff>
    </xdr:to>
    <xdr:graphicFrame macro="">
      <xdr:nvGraphicFramePr>
        <xdr:cNvPr id="385" name="Gráfico 384">
          <a:extLst>
            <a:ext uri="{FF2B5EF4-FFF2-40B4-BE49-F238E27FC236}">
              <a16:creationId xmlns:a16="http://schemas.microsoft.com/office/drawing/2014/main" id="{68B364B3-2296-4C0F-ACA4-266F2BF3B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19</xdr:col>
      <xdr:colOff>66675</xdr:colOff>
      <xdr:row>103</xdr:row>
      <xdr:rowOff>66675</xdr:rowOff>
    </xdr:from>
    <xdr:to>
      <xdr:col>23</xdr:col>
      <xdr:colOff>469900</xdr:colOff>
      <xdr:row>116</xdr:row>
      <xdr:rowOff>95250</xdr:rowOff>
    </xdr:to>
    <xdr:graphicFrame macro="">
      <xdr:nvGraphicFramePr>
        <xdr:cNvPr id="386" name="Gráfico 385">
          <a:extLst>
            <a:ext uri="{FF2B5EF4-FFF2-40B4-BE49-F238E27FC236}">
              <a16:creationId xmlns:a16="http://schemas.microsoft.com/office/drawing/2014/main" id="{E224340E-A009-4EF1-A105-B671B80D8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23</xdr:col>
      <xdr:colOff>504825</xdr:colOff>
      <xdr:row>103</xdr:row>
      <xdr:rowOff>28575</xdr:rowOff>
    </xdr:from>
    <xdr:to>
      <xdr:col>28</xdr:col>
      <xdr:colOff>146050</xdr:colOff>
      <xdr:row>116</xdr:row>
      <xdr:rowOff>76200</xdr:rowOff>
    </xdr:to>
    <xdr:graphicFrame macro="">
      <xdr:nvGraphicFramePr>
        <xdr:cNvPr id="387" name="Gráfico 386">
          <a:extLst>
            <a:ext uri="{FF2B5EF4-FFF2-40B4-BE49-F238E27FC236}">
              <a16:creationId xmlns:a16="http://schemas.microsoft.com/office/drawing/2014/main" id="{C92A5FB7-5A5D-45E9-967E-8831251A6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42</xdr:col>
      <xdr:colOff>619125</xdr:colOff>
      <xdr:row>102</xdr:row>
      <xdr:rowOff>142875</xdr:rowOff>
    </xdr:from>
    <xdr:to>
      <xdr:col>47</xdr:col>
      <xdr:colOff>200025</xdr:colOff>
      <xdr:row>116</xdr:row>
      <xdr:rowOff>152399</xdr:rowOff>
    </xdr:to>
    <xdr:graphicFrame macro="">
      <xdr:nvGraphicFramePr>
        <xdr:cNvPr id="388" name="Gráfico 387">
          <a:extLst>
            <a:ext uri="{FF2B5EF4-FFF2-40B4-BE49-F238E27FC236}">
              <a16:creationId xmlns:a16="http://schemas.microsoft.com/office/drawing/2014/main" id="{4288D80E-EBA7-4EE6-ABC8-9951CB384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10</xdr:col>
      <xdr:colOff>333375</xdr:colOff>
      <xdr:row>123</xdr:row>
      <xdr:rowOff>0</xdr:rowOff>
    </xdr:from>
    <xdr:to>
      <xdr:col>14</xdr:col>
      <xdr:colOff>565150</xdr:colOff>
      <xdr:row>136</xdr:row>
      <xdr:rowOff>171450</xdr:rowOff>
    </xdr:to>
    <xdr:graphicFrame macro="">
      <xdr:nvGraphicFramePr>
        <xdr:cNvPr id="389" name="Gráfico 388">
          <a:extLst>
            <a:ext uri="{FF2B5EF4-FFF2-40B4-BE49-F238E27FC236}">
              <a16:creationId xmlns:a16="http://schemas.microsoft.com/office/drawing/2014/main" id="{37B83900-C0DE-456D-A10C-9CBCF0F09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28</xdr:col>
      <xdr:colOff>257175</xdr:colOff>
      <xdr:row>122</xdr:row>
      <xdr:rowOff>161924</xdr:rowOff>
    </xdr:from>
    <xdr:to>
      <xdr:col>32</xdr:col>
      <xdr:colOff>723106</xdr:colOff>
      <xdr:row>136</xdr:row>
      <xdr:rowOff>171450</xdr:rowOff>
    </xdr:to>
    <xdr:graphicFrame macro="">
      <xdr:nvGraphicFramePr>
        <xdr:cNvPr id="390" name="Gráfico 389">
          <a:extLst>
            <a:ext uri="{FF2B5EF4-FFF2-40B4-BE49-F238E27FC236}">
              <a16:creationId xmlns:a16="http://schemas.microsoft.com/office/drawing/2014/main" id="{521F6D76-C459-42F6-98F5-917740181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32</xdr:col>
      <xdr:colOff>771525</xdr:colOff>
      <xdr:row>122</xdr:row>
      <xdr:rowOff>142875</xdr:rowOff>
    </xdr:from>
    <xdr:to>
      <xdr:col>37</xdr:col>
      <xdr:colOff>553245</xdr:colOff>
      <xdr:row>137</xdr:row>
      <xdr:rowOff>19050</xdr:rowOff>
    </xdr:to>
    <xdr:graphicFrame macro="">
      <xdr:nvGraphicFramePr>
        <xdr:cNvPr id="391" name="Gráfico 390">
          <a:extLst>
            <a:ext uri="{FF2B5EF4-FFF2-40B4-BE49-F238E27FC236}">
              <a16:creationId xmlns:a16="http://schemas.microsoft.com/office/drawing/2014/main" id="{34AF6295-4BAB-4847-84DF-F842F9227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37</xdr:col>
      <xdr:colOff>619125</xdr:colOff>
      <xdr:row>122</xdr:row>
      <xdr:rowOff>120650</xdr:rowOff>
    </xdr:from>
    <xdr:to>
      <xdr:col>42</xdr:col>
      <xdr:colOff>520701</xdr:colOff>
      <xdr:row>137</xdr:row>
      <xdr:rowOff>38099</xdr:rowOff>
    </xdr:to>
    <xdr:graphicFrame macro="">
      <xdr:nvGraphicFramePr>
        <xdr:cNvPr id="392" name="Gráfico 391">
          <a:extLst>
            <a:ext uri="{FF2B5EF4-FFF2-40B4-BE49-F238E27FC236}">
              <a16:creationId xmlns:a16="http://schemas.microsoft.com/office/drawing/2014/main" id="{ED2BF275-8C3B-401C-ABBA-A7C261213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47</xdr:col>
      <xdr:colOff>295274</xdr:colOff>
      <xdr:row>122</xdr:row>
      <xdr:rowOff>110332</xdr:rowOff>
    </xdr:from>
    <xdr:to>
      <xdr:col>51</xdr:col>
      <xdr:colOff>581025</xdr:colOff>
      <xdr:row>137</xdr:row>
      <xdr:rowOff>38099</xdr:rowOff>
    </xdr:to>
    <xdr:graphicFrame macro="">
      <xdr:nvGraphicFramePr>
        <xdr:cNvPr id="393" name="Gráfico 392">
          <a:extLst>
            <a:ext uri="{FF2B5EF4-FFF2-40B4-BE49-F238E27FC236}">
              <a16:creationId xmlns:a16="http://schemas.microsoft.com/office/drawing/2014/main" id="{E43F9720-49E5-4C0D-8D9F-9F2826C3B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51</xdr:col>
      <xdr:colOff>619125</xdr:colOff>
      <xdr:row>122</xdr:row>
      <xdr:rowOff>114299</xdr:rowOff>
    </xdr:from>
    <xdr:to>
      <xdr:col>55</xdr:col>
      <xdr:colOff>828675</xdr:colOff>
      <xdr:row>137</xdr:row>
      <xdr:rowOff>0</xdr:rowOff>
    </xdr:to>
    <xdr:graphicFrame macro="">
      <xdr:nvGraphicFramePr>
        <xdr:cNvPr id="394" name="Gráfico 393">
          <a:extLst>
            <a:ext uri="{FF2B5EF4-FFF2-40B4-BE49-F238E27FC236}">
              <a16:creationId xmlns:a16="http://schemas.microsoft.com/office/drawing/2014/main" id="{2CE6C07B-2613-42BA-B9A9-9344E11AF6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6</xdr:col>
      <xdr:colOff>238125</xdr:colOff>
      <xdr:row>122</xdr:row>
      <xdr:rowOff>152400</xdr:rowOff>
    </xdr:from>
    <xdr:to>
      <xdr:col>10</xdr:col>
      <xdr:colOff>298450</xdr:colOff>
      <xdr:row>136</xdr:row>
      <xdr:rowOff>76200</xdr:rowOff>
    </xdr:to>
    <xdr:graphicFrame macro="">
      <xdr:nvGraphicFramePr>
        <xdr:cNvPr id="395" name="Gráfico 394">
          <a:extLst>
            <a:ext uri="{FF2B5EF4-FFF2-40B4-BE49-F238E27FC236}">
              <a16:creationId xmlns:a16="http://schemas.microsoft.com/office/drawing/2014/main" id="{59C46A3B-0B5E-4C5F-8D78-3F5CEA45D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14</xdr:col>
      <xdr:colOff>619125</xdr:colOff>
      <xdr:row>123</xdr:row>
      <xdr:rowOff>19050</xdr:rowOff>
    </xdr:from>
    <xdr:to>
      <xdr:col>19</xdr:col>
      <xdr:colOff>28574</xdr:colOff>
      <xdr:row>136</xdr:row>
      <xdr:rowOff>171450</xdr:rowOff>
    </xdr:to>
    <xdr:graphicFrame macro="">
      <xdr:nvGraphicFramePr>
        <xdr:cNvPr id="396" name="Gráfico 395">
          <a:extLst>
            <a:ext uri="{FF2B5EF4-FFF2-40B4-BE49-F238E27FC236}">
              <a16:creationId xmlns:a16="http://schemas.microsoft.com/office/drawing/2014/main" id="{20A6741C-C901-4C60-AB63-743A37D97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19</xdr:col>
      <xdr:colOff>66675</xdr:colOff>
      <xdr:row>123</xdr:row>
      <xdr:rowOff>19050</xdr:rowOff>
    </xdr:from>
    <xdr:to>
      <xdr:col>23</xdr:col>
      <xdr:colOff>469900</xdr:colOff>
      <xdr:row>137</xdr:row>
      <xdr:rowOff>0</xdr:rowOff>
    </xdr:to>
    <xdr:graphicFrame macro="">
      <xdr:nvGraphicFramePr>
        <xdr:cNvPr id="397" name="Gráfico 396">
          <a:extLst>
            <a:ext uri="{FF2B5EF4-FFF2-40B4-BE49-F238E27FC236}">
              <a16:creationId xmlns:a16="http://schemas.microsoft.com/office/drawing/2014/main" id="{66C07713-59C5-4510-B068-1BD2FE53F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23</xdr:col>
      <xdr:colOff>504825</xdr:colOff>
      <xdr:row>122</xdr:row>
      <xdr:rowOff>171450</xdr:rowOff>
    </xdr:from>
    <xdr:to>
      <xdr:col>28</xdr:col>
      <xdr:colOff>146050</xdr:colOff>
      <xdr:row>136</xdr:row>
      <xdr:rowOff>171450</xdr:rowOff>
    </xdr:to>
    <xdr:graphicFrame macro="">
      <xdr:nvGraphicFramePr>
        <xdr:cNvPr id="398" name="Gráfico 397">
          <a:extLst>
            <a:ext uri="{FF2B5EF4-FFF2-40B4-BE49-F238E27FC236}">
              <a16:creationId xmlns:a16="http://schemas.microsoft.com/office/drawing/2014/main" id="{377841F6-F2B9-47E7-87C9-20A14539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42</xdr:col>
      <xdr:colOff>619125</xdr:colOff>
      <xdr:row>122</xdr:row>
      <xdr:rowOff>95250</xdr:rowOff>
    </xdr:from>
    <xdr:to>
      <xdr:col>47</xdr:col>
      <xdr:colOff>200025</xdr:colOff>
      <xdr:row>137</xdr:row>
      <xdr:rowOff>57149</xdr:rowOff>
    </xdr:to>
    <xdr:graphicFrame macro="">
      <xdr:nvGraphicFramePr>
        <xdr:cNvPr id="399" name="Gráfico 398">
          <a:extLst>
            <a:ext uri="{FF2B5EF4-FFF2-40B4-BE49-F238E27FC236}">
              <a16:creationId xmlns:a16="http://schemas.microsoft.com/office/drawing/2014/main" id="{11A160BA-1950-4240-8562-902ED05B9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10</xdr:col>
      <xdr:colOff>285750</xdr:colOff>
      <xdr:row>142</xdr:row>
      <xdr:rowOff>47625</xdr:rowOff>
    </xdr:from>
    <xdr:to>
      <xdr:col>14</xdr:col>
      <xdr:colOff>517525</xdr:colOff>
      <xdr:row>155</xdr:row>
      <xdr:rowOff>76200</xdr:rowOff>
    </xdr:to>
    <xdr:graphicFrame macro="">
      <xdr:nvGraphicFramePr>
        <xdr:cNvPr id="400" name="Gráfico 399">
          <a:extLst>
            <a:ext uri="{FF2B5EF4-FFF2-40B4-BE49-F238E27FC236}">
              <a16:creationId xmlns:a16="http://schemas.microsoft.com/office/drawing/2014/main" id="{9C0299D0-50D5-49B7-8593-4067FF446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28</xdr:col>
      <xdr:colOff>209550</xdr:colOff>
      <xdr:row>142</xdr:row>
      <xdr:rowOff>19049</xdr:rowOff>
    </xdr:from>
    <xdr:to>
      <xdr:col>32</xdr:col>
      <xdr:colOff>675481</xdr:colOff>
      <xdr:row>155</xdr:row>
      <xdr:rowOff>76200</xdr:rowOff>
    </xdr:to>
    <xdr:graphicFrame macro="">
      <xdr:nvGraphicFramePr>
        <xdr:cNvPr id="401" name="Gráfico 400">
          <a:extLst>
            <a:ext uri="{FF2B5EF4-FFF2-40B4-BE49-F238E27FC236}">
              <a16:creationId xmlns:a16="http://schemas.microsoft.com/office/drawing/2014/main" id="{13E380A2-03A6-4A53-90E3-E62DC442E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32</xdr:col>
      <xdr:colOff>723900</xdr:colOff>
      <xdr:row>142</xdr:row>
      <xdr:rowOff>0</xdr:rowOff>
    </xdr:from>
    <xdr:to>
      <xdr:col>37</xdr:col>
      <xdr:colOff>505620</xdr:colOff>
      <xdr:row>155</xdr:row>
      <xdr:rowOff>114300</xdr:rowOff>
    </xdr:to>
    <xdr:graphicFrame macro="">
      <xdr:nvGraphicFramePr>
        <xdr:cNvPr id="402" name="Gráfico 401">
          <a:extLst>
            <a:ext uri="{FF2B5EF4-FFF2-40B4-BE49-F238E27FC236}">
              <a16:creationId xmlns:a16="http://schemas.microsoft.com/office/drawing/2014/main" id="{DD8B36E7-E1C3-4A06-9587-7D7380BE4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37</xdr:col>
      <xdr:colOff>571500</xdr:colOff>
      <xdr:row>141</xdr:row>
      <xdr:rowOff>168275</xdr:rowOff>
    </xdr:from>
    <xdr:to>
      <xdr:col>42</xdr:col>
      <xdr:colOff>473076</xdr:colOff>
      <xdr:row>155</xdr:row>
      <xdr:rowOff>133349</xdr:rowOff>
    </xdr:to>
    <xdr:graphicFrame macro="">
      <xdr:nvGraphicFramePr>
        <xdr:cNvPr id="403" name="Gráfico 402">
          <a:extLst>
            <a:ext uri="{FF2B5EF4-FFF2-40B4-BE49-F238E27FC236}">
              <a16:creationId xmlns:a16="http://schemas.microsoft.com/office/drawing/2014/main" id="{306B704D-644C-45F8-A7F3-220A5CCB1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47</xdr:col>
      <xdr:colOff>247649</xdr:colOff>
      <xdr:row>141</xdr:row>
      <xdr:rowOff>157957</xdr:rowOff>
    </xdr:from>
    <xdr:to>
      <xdr:col>51</xdr:col>
      <xdr:colOff>533400</xdr:colOff>
      <xdr:row>155</xdr:row>
      <xdr:rowOff>133349</xdr:rowOff>
    </xdr:to>
    <xdr:graphicFrame macro="">
      <xdr:nvGraphicFramePr>
        <xdr:cNvPr id="404" name="Gráfico 403">
          <a:extLst>
            <a:ext uri="{FF2B5EF4-FFF2-40B4-BE49-F238E27FC236}">
              <a16:creationId xmlns:a16="http://schemas.microsoft.com/office/drawing/2014/main" id="{0AF0CBC6-DA84-40C1-85D0-B57ADC81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51</xdr:col>
      <xdr:colOff>571500</xdr:colOff>
      <xdr:row>141</xdr:row>
      <xdr:rowOff>161924</xdr:rowOff>
    </xdr:from>
    <xdr:to>
      <xdr:col>55</xdr:col>
      <xdr:colOff>781050</xdr:colOff>
      <xdr:row>155</xdr:row>
      <xdr:rowOff>95250</xdr:rowOff>
    </xdr:to>
    <xdr:graphicFrame macro="">
      <xdr:nvGraphicFramePr>
        <xdr:cNvPr id="405" name="Gráfico 404">
          <a:extLst>
            <a:ext uri="{FF2B5EF4-FFF2-40B4-BE49-F238E27FC236}">
              <a16:creationId xmlns:a16="http://schemas.microsoft.com/office/drawing/2014/main" id="{7C00E166-B5D2-47AE-A50F-9F978269A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6</xdr:col>
      <xdr:colOff>190500</xdr:colOff>
      <xdr:row>142</xdr:row>
      <xdr:rowOff>9525</xdr:rowOff>
    </xdr:from>
    <xdr:to>
      <xdr:col>10</xdr:col>
      <xdr:colOff>250825</xdr:colOff>
      <xdr:row>155</xdr:row>
      <xdr:rowOff>28575</xdr:rowOff>
    </xdr:to>
    <xdr:graphicFrame macro="">
      <xdr:nvGraphicFramePr>
        <xdr:cNvPr id="406" name="Gráfico 405">
          <a:extLst>
            <a:ext uri="{FF2B5EF4-FFF2-40B4-BE49-F238E27FC236}">
              <a16:creationId xmlns:a16="http://schemas.microsoft.com/office/drawing/2014/main" id="{89F8AFED-A3EE-490D-8B70-86FE8AA3F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14</xdr:col>
      <xdr:colOff>571500</xdr:colOff>
      <xdr:row>142</xdr:row>
      <xdr:rowOff>66675</xdr:rowOff>
    </xdr:from>
    <xdr:to>
      <xdr:col>18</xdr:col>
      <xdr:colOff>838199</xdr:colOff>
      <xdr:row>155</xdr:row>
      <xdr:rowOff>76200</xdr:rowOff>
    </xdr:to>
    <xdr:graphicFrame macro="">
      <xdr:nvGraphicFramePr>
        <xdr:cNvPr id="407" name="Gráfico 406">
          <a:extLst>
            <a:ext uri="{FF2B5EF4-FFF2-40B4-BE49-F238E27FC236}">
              <a16:creationId xmlns:a16="http://schemas.microsoft.com/office/drawing/2014/main" id="{F6423CAF-2DC3-4443-9710-2C70B9065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19</xdr:col>
      <xdr:colOff>19050</xdr:colOff>
      <xdr:row>142</xdr:row>
      <xdr:rowOff>66675</xdr:rowOff>
    </xdr:from>
    <xdr:to>
      <xdr:col>23</xdr:col>
      <xdr:colOff>422275</xdr:colOff>
      <xdr:row>155</xdr:row>
      <xdr:rowOff>95250</xdr:rowOff>
    </xdr:to>
    <xdr:graphicFrame macro="">
      <xdr:nvGraphicFramePr>
        <xdr:cNvPr id="408" name="Gráfico 407">
          <a:extLst>
            <a:ext uri="{FF2B5EF4-FFF2-40B4-BE49-F238E27FC236}">
              <a16:creationId xmlns:a16="http://schemas.microsoft.com/office/drawing/2014/main" id="{B9C1FEA3-9E4A-42EA-BFAB-0052F850A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23</xdr:col>
      <xdr:colOff>457200</xdr:colOff>
      <xdr:row>142</xdr:row>
      <xdr:rowOff>28575</xdr:rowOff>
    </xdr:from>
    <xdr:to>
      <xdr:col>28</xdr:col>
      <xdr:colOff>98425</xdr:colOff>
      <xdr:row>155</xdr:row>
      <xdr:rowOff>76200</xdr:rowOff>
    </xdr:to>
    <xdr:graphicFrame macro="">
      <xdr:nvGraphicFramePr>
        <xdr:cNvPr id="409" name="Gráfico 408">
          <a:extLst>
            <a:ext uri="{FF2B5EF4-FFF2-40B4-BE49-F238E27FC236}">
              <a16:creationId xmlns:a16="http://schemas.microsoft.com/office/drawing/2014/main" id="{9E53A49D-301F-4A53-8CEA-D1134A3A4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42</xdr:col>
      <xdr:colOff>571500</xdr:colOff>
      <xdr:row>141</xdr:row>
      <xdr:rowOff>142875</xdr:rowOff>
    </xdr:from>
    <xdr:to>
      <xdr:col>47</xdr:col>
      <xdr:colOff>152400</xdr:colOff>
      <xdr:row>155</xdr:row>
      <xdr:rowOff>152399</xdr:rowOff>
    </xdr:to>
    <xdr:graphicFrame macro="">
      <xdr:nvGraphicFramePr>
        <xdr:cNvPr id="410" name="Gráfico 409">
          <a:extLst>
            <a:ext uri="{FF2B5EF4-FFF2-40B4-BE49-F238E27FC236}">
              <a16:creationId xmlns:a16="http://schemas.microsoft.com/office/drawing/2014/main" id="{9D2F1288-56EC-4DCB-8899-71BDBC304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10</xdr:col>
      <xdr:colOff>190500</xdr:colOff>
      <xdr:row>161</xdr:row>
      <xdr:rowOff>47625</xdr:rowOff>
    </xdr:from>
    <xdr:to>
      <xdr:col>14</xdr:col>
      <xdr:colOff>422275</xdr:colOff>
      <xdr:row>174</xdr:row>
      <xdr:rowOff>76200</xdr:rowOff>
    </xdr:to>
    <xdr:graphicFrame macro="">
      <xdr:nvGraphicFramePr>
        <xdr:cNvPr id="411" name="Gráfico 410">
          <a:extLst>
            <a:ext uri="{FF2B5EF4-FFF2-40B4-BE49-F238E27FC236}">
              <a16:creationId xmlns:a16="http://schemas.microsoft.com/office/drawing/2014/main" id="{7C67E191-F5C3-450A-B845-1542141B9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28</xdr:col>
      <xdr:colOff>114300</xdr:colOff>
      <xdr:row>161</xdr:row>
      <xdr:rowOff>19049</xdr:rowOff>
    </xdr:from>
    <xdr:to>
      <xdr:col>32</xdr:col>
      <xdr:colOff>580231</xdr:colOff>
      <xdr:row>174</xdr:row>
      <xdr:rowOff>76200</xdr:rowOff>
    </xdr:to>
    <xdr:graphicFrame macro="">
      <xdr:nvGraphicFramePr>
        <xdr:cNvPr id="412" name="Gráfico 411">
          <a:extLst>
            <a:ext uri="{FF2B5EF4-FFF2-40B4-BE49-F238E27FC236}">
              <a16:creationId xmlns:a16="http://schemas.microsoft.com/office/drawing/2014/main" id="{901C319F-D4E8-4196-BD66-013E03720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32</xdr:col>
      <xdr:colOff>628650</xdr:colOff>
      <xdr:row>161</xdr:row>
      <xdr:rowOff>0</xdr:rowOff>
    </xdr:from>
    <xdr:to>
      <xdr:col>37</xdr:col>
      <xdr:colOff>410370</xdr:colOff>
      <xdr:row>174</xdr:row>
      <xdr:rowOff>114300</xdr:rowOff>
    </xdr:to>
    <xdr:graphicFrame macro="">
      <xdr:nvGraphicFramePr>
        <xdr:cNvPr id="413" name="Gráfico 412">
          <a:extLst>
            <a:ext uri="{FF2B5EF4-FFF2-40B4-BE49-F238E27FC236}">
              <a16:creationId xmlns:a16="http://schemas.microsoft.com/office/drawing/2014/main" id="{883F1D9D-489C-4CB4-941B-86C8CAC28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37</xdr:col>
      <xdr:colOff>476250</xdr:colOff>
      <xdr:row>160</xdr:row>
      <xdr:rowOff>168275</xdr:rowOff>
    </xdr:from>
    <xdr:to>
      <xdr:col>42</xdr:col>
      <xdr:colOff>377826</xdr:colOff>
      <xdr:row>174</xdr:row>
      <xdr:rowOff>133349</xdr:rowOff>
    </xdr:to>
    <xdr:graphicFrame macro="">
      <xdr:nvGraphicFramePr>
        <xdr:cNvPr id="414" name="Gráfico 413">
          <a:extLst>
            <a:ext uri="{FF2B5EF4-FFF2-40B4-BE49-F238E27FC236}">
              <a16:creationId xmlns:a16="http://schemas.microsoft.com/office/drawing/2014/main" id="{85BC13FF-C71A-4542-A497-D925215D7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47</xdr:col>
      <xdr:colOff>152399</xdr:colOff>
      <xdr:row>160</xdr:row>
      <xdr:rowOff>157957</xdr:rowOff>
    </xdr:from>
    <xdr:to>
      <xdr:col>51</xdr:col>
      <xdr:colOff>438150</xdr:colOff>
      <xdr:row>174</xdr:row>
      <xdr:rowOff>133349</xdr:rowOff>
    </xdr:to>
    <xdr:graphicFrame macro="">
      <xdr:nvGraphicFramePr>
        <xdr:cNvPr id="415" name="Gráfico 414">
          <a:extLst>
            <a:ext uri="{FF2B5EF4-FFF2-40B4-BE49-F238E27FC236}">
              <a16:creationId xmlns:a16="http://schemas.microsoft.com/office/drawing/2014/main" id="{F9C93225-0B5E-4252-9B5D-7D0AD0F01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51</xdr:col>
      <xdr:colOff>476250</xdr:colOff>
      <xdr:row>160</xdr:row>
      <xdr:rowOff>161924</xdr:rowOff>
    </xdr:from>
    <xdr:to>
      <xdr:col>55</xdr:col>
      <xdr:colOff>685800</xdr:colOff>
      <xdr:row>174</xdr:row>
      <xdr:rowOff>95250</xdr:rowOff>
    </xdr:to>
    <xdr:graphicFrame macro="">
      <xdr:nvGraphicFramePr>
        <xdr:cNvPr id="416" name="Gráfico 415">
          <a:extLst>
            <a:ext uri="{FF2B5EF4-FFF2-40B4-BE49-F238E27FC236}">
              <a16:creationId xmlns:a16="http://schemas.microsoft.com/office/drawing/2014/main" id="{3909951A-346C-477D-B82C-87001E06E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6</xdr:col>
      <xdr:colOff>95250</xdr:colOff>
      <xdr:row>161</xdr:row>
      <xdr:rowOff>9525</xdr:rowOff>
    </xdr:from>
    <xdr:to>
      <xdr:col>10</xdr:col>
      <xdr:colOff>155575</xdr:colOff>
      <xdr:row>174</xdr:row>
      <xdr:rowOff>28575</xdr:rowOff>
    </xdr:to>
    <xdr:graphicFrame macro="">
      <xdr:nvGraphicFramePr>
        <xdr:cNvPr id="417" name="Gráfico 416">
          <a:extLst>
            <a:ext uri="{FF2B5EF4-FFF2-40B4-BE49-F238E27FC236}">
              <a16:creationId xmlns:a16="http://schemas.microsoft.com/office/drawing/2014/main" id="{0538A70A-716B-4BEB-9A93-09D7CA96A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14</xdr:col>
      <xdr:colOff>476250</xdr:colOff>
      <xdr:row>161</xdr:row>
      <xdr:rowOff>66675</xdr:rowOff>
    </xdr:from>
    <xdr:to>
      <xdr:col>18</xdr:col>
      <xdr:colOff>742949</xdr:colOff>
      <xdr:row>174</xdr:row>
      <xdr:rowOff>76200</xdr:rowOff>
    </xdr:to>
    <xdr:graphicFrame macro="">
      <xdr:nvGraphicFramePr>
        <xdr:cNvPr id="418" name="Gráfico 417">
          <a:extLst>
            <a:ext uri="{FF2B5EF4-FFF2-40B4-BE49-F238E27FC236}">
              <a16:creationId xmlns:a16="http://schemas.microsoft.com/office/drawing/2014/main" id="{0BFFDFE4-7473-4C3D-A9BD-19C80CCDB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18</xdr:col>
      <xdr:colOff>781050</xdr:colOff>
      <xdr:row>161</xdr:row>
      <xdr:rowOff>66675</xdr:rowOff>
    </xdr:from>
    <xdr:to>
      <xdr:col>23</xdr:col>
      <xdr:colOff>327025</xdr:colOff>
      <xdr:row>174</xdr:row>
      <xdr:rowOff>95250</xdr:rowOff>
    </xdr:to>
    <xdr:graphicFrame macro="">
      <xdr:nvGraphicFramePr>
        <xdr:cNvPr id="419" name="Gráfico 418">
          <a:extLst>
            <a:ext uri="{FF2B5EF4-FFF2-40B4-BE49-F238E27FC236}">
              <a16:creationId xmlns:a16="http://schemas.microsoft.com/office/drawing/2014/main" id="{5625F503-2B59-4029-98AE-8C6D7BF31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23</xdr:col>
      <xdr:colOff>361950</xdr:colOff>
      <xdr:row>161</xdr:row>
      <xdr:rowOff>28575</xdr:rowOff>
    </xdr:from>
    <xdr:to>
      <xdr:col>28</xdr:col>
      <xdr:colOff>3175</xdr:colOff>
      <xdr:row>174</xdr:row>
      <xdr:rowOff>76200</xdr:rowOff>
    </xdr:to>
    <xdr:graphicFrame macro="">
      <xdr:nvGraphicFramePr>
        <xdr:cNvPr id="420" name="Gráfico 419">
          <a:extLst>
            <a:ext uri="{FF2B5EF4-FFF2-40B4-BE49-F238E27FC236}">
              <a16:creationId xmlns:a16="http://schemas.microsoft.com/office/drawing/2014/main" id="{B4274BD3-DD30-4D99-88BC-E52289F84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42</xdr:col>
      <xdr:colOff>476250</xdr:colOff>
      <xdr:row>160</xdr:row>
      <xdr:rowOff>142875</xdr:rowOff>
    </xdr:from>
    <xdr:to>
      <xdr:col>47</xdr:col>
      <xdr:colOff>57150</xdr:colOff>
      <xdr:row>174</xdr:row>
      <xdr:rowOff>152399</xdr:rowOff>
    </xdr:to>
    <xdr:graphicFrame macro="">
      <xdr:nvGraphicFramePr>
        <xdr:cNvPr id="421" name="Gráfico 420">
          <a:extLst>
            <a:ext uri="{FF2B5EF4-FFF2-40B4-BE49-F238E27FC236}">
              <a16:creationId xmlns:a16="http://schemas.microsoft.com/office/drawing/2014/main" id="{2C4A1A6A-1E9D-4358-BCAD-44FA2463D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10</xdr:col>
      <xdr:colOff>238125</xdr:colOff>
      <xdr:row>182</xdr:row>
      <xdr:rowOff>47625</xdr:rowOff>
    </xdr:from>
    <xdr:to>
      <xdr:col>14</xdr:col>
      <xdr:colOff>469900</xdr:colOff>
      <xdr:row>195</xdr:row>
      <xdr:rowOff>76200</xdr:rowOff>
    </xdr:to>
    <xdr:graphicFrame macro="">
      <xdr:nvGraphicFramePr>
        <xdr:cNvPr id="422" name="Gráfico 421">
          <a:extLst>
            <a:ext uri="{FF2B5EF4-FFF2-40B4-BE49-F238E27FC236}">
              <a16:creationId xmlns:a16="http://schemas.microsoft.com/office/drawing/2014/main" id="{9DB4E7FA-6B77-4B96-9828-C4402B5D5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28</xdr:col>
      <xdr:colOff>161925</xdr:colOff>
      <xdr:row>182</xdr:row>
      <xdr:rowOff>19049</xdr:rowOff>
    </xdr:from>
    <xdr:to>
      <xdr:col>32</xdr:col>
      <xdr:colOff>627856</xdr:colOff>
      <xdr:row>195</xdr:row>
      <xdr:rowOff>76200</xdr:rowOff>
    </xdr:to>
    <xdr:graphicFrame macro="">
      <xdr:nvGraphicFramePr>
        <xdr:cNvPr id="423" name="Gráfico 422">
          <a:extLst>
            <a:ext uri="{FF2B5EF4-FFF2-40B4-BE49-F238E27FC236}">
              <a16:creationId xmlns:a16="http://schemas.microsoft.com/office/drawing/2014/main" id="{658416ED-09AA-463E-A318-BD6FB0632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32</xdr:col>
      <xdr:colOff>676275</xdr:colOff>
      <xdr:row>182</xdr:row>
      <xdr:rowOff>0</xdr:rowOff>
    </xdr:from>
    <xdr:to>
      <xdr:col>37</xdr:col>
      <xdr:colOff>457995</xdr:colOff>
      <xdr:row>195</xdr:row>
      <xdr:rowOff>114300</xdr:rowOff>
    </xdr:to>
    <xdr:graphicFrame macro="">
      <xdr:nvGraphicFramePr>
        <xdr:cNvPr id="424" name="Gráfico 423">
          <a:extLst>
            <a:ext uri="{FF2B5EF4-FFF2-40B4-BE49-F238E27FC236}">
              <a16:creationId xmlns:a16="http://schemas.microsoft.com/office/drawing/2014/main" id="{08440750-8E56-47B6-94AD-C948F1DA5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37</xdr:col>
      <xdr:colOff>523875</xdr:colOff>
      <xdr:row>181</xdr:row>
      <xdr:rowOff>168275</xdr:rowOff>
    </xdr:from>
    <xdr:to>
      <xdr:col>42</xdr:col>
      <xdr:colOff>425451</xdr:colOff>
      <xdr:row>195</xdr:row>
      <xdr:rowOff>133349</xdr:rowOff>
    </xdr:to>
    <xdr:graphicFrame macro="">
      <xdr:nvGraphicFramePr>
        <xdr:cNvPr id="425" name="Gráfico 424">
          <a:extLst>
            <a:ext uri="{FF2B5EF4-FFF2-40B4-BE49-F238E27FC236}">
              <a16:creationId xmlns:a16="http://schemas.microsoft.com/office/drawing/2014/main" id="{AC599741-7A6F-4A10-AC61-7688FEC41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47</xdr:col>
      <xdr:colOff>200024</xdr:colOff>
      <xdr:row>181</xdr:row>
      <xdr:rowOff>157957</xdr:rowOff>
    </xdr:from>
    <xdr:to>
      <xdr:col>51</xdr:col>
      <xdr:colOff>485775</xdr:colOff>
      <xdr:row>195</xdr:row>
      <xdr:rowOff>133349</xdr:rowOff>
    </xdr:to>
    <xdr:graphicFrame macro="">
      <xdr:nvGraphicFramePr>
        <xdr:cNvPr id="426" name="Gráfico 425">
          <a:extLst>
            <a:ext uri="{FF2B5EF4-FFF2-40B4-BE49-F238E27FC236}">
              <a16:creationId xmlns:a16="http://schemas.microsoft.com/office/drawing/2014/main" id="{B3B71675-BF37-4D0E-9B7D-EA204F613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51</xdr:col>
      <xdr:colOff>523875</xdr:colOff>
      <xdr:row>181</xdr:row>
      <xdr:rowOff>161924</xdr:rowOff>
    </xdr:from>
    <xdr:to>
      <xdr:col>55</xdr:col>
      <xdr:colOff>733425</xdr:colOff>
      <xdr:row>195</xdr:row>
      <xdr:rowOff>95250</xdr:rowOff>
    </xdr:to>
    <xdr:graphicFrame macro="">
      <xdr:nvGraphicFramePr>
        <xdr:cNvPr id="427" name="Gráfico 426">
          <a:extLst>
            <a:ext uri="{FF2B5EF4-FFF2-40B4-BE49-F238E27FC236}">
              <a16:creationId xmlns:a16="http://schemas.microsoft.com/office/drawing/2014/main" id="{8A454FA6-5325-4440-A0C2-766B5F47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6</xdr:col>
      <xdr:colOff>142875</xdr:colOff>
      <xdr:row>182</xdr:row>
      <xdr:rowOff>9525</xdr:rowOff>
    </xdr:from>
    <xdr:to>
      <xdr:col>10</xdr:col>
      <xdr:colOff>203200</xdr:colOff>
      <xdr:row>195</xdr:row>
      <xdr:rowOff>28575</xdr:rowOff>
    </xdr:to>
    <xdr:graphicFrame macro="">
      <xdr:nvGraphicFramePr>
        <xdr:cNvPr id="428" name="Gráfico 427">
          <a:extLst>
            <a:ext uri="{FF2B5EF4-FFF2-40B4-BE49-F238E27FC236}">
              <a16:creationId xmlns:a16="http://schemas.microsoft.com/office/drawing/2014/main" id="{E40F978E-6160-4270-883E-3856DFEC2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14</xdr:col>
      <xdr:colOff>523875</xdr:colOff>
      <xdr:row>182</xdr:row>
      <xdr:rowOff>66675</xdr:rowOff>
    </xdr:from>
    <xdr:to>
      <xdr:col>18</xdr:col>
      <xdr:colOff>790574</xdr:colOff>
      <xdr:row>195</xdr:row>
      <xdr:rowOff>76200</xdr:rowOff>
    </xdr:to>
    <xdr:graphicFrame macro="">
      <xdr:nvGraphicFramePr>
        <xdr:cNvPr id="429" name="Gráfico 428">
          <a:extLst>
            <a:ext uri="{FF2B5EF4-FFF2-40B4-BE49-F238E27FC236}">
              <a16:creationId xmlns:a16="http://schemas.microsoft.com/office/drawing/2014/main" id="{CC6B2C5C-D842-4B4B-94BA-C6FBBD7F1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18</xdr:col>
      <xdr:colOff>828675</xdr:colOff>
      <xdr:row>182</xdr:row>
      <xdr:rowOff>66675</xdr:rowOff>
    </xdr:from>
    <xdr:to>
      <xdr:col>23</xdr:col>
      <xdr:colOff>374650</xdr:colOff>
      <xdr:row>195</xdr:row>
      <xdr:rowOff>95250</xdr:rowOff>
    </xdr:to>
    <xdr:graphicFrame macro="">
      <xdr:nvGraphicFramePr>
        <xdr:cNvPr id="430" name="Gráfico 429">
          <a:extLst>
            <a:ext uri="{FF2B5EF4-FFF2-40B4-BE49-F238E27FC236}">
              <a16:creationId xmlns:a16="http://schemas.microsoft.com/office/drawing/2014/main" id="{08A28EA8-9D4C-4C51-9F2D-9FABDE6A8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23</xdr:col>
      <xdr:colOff>409575</xdr:colOff>
      <xdr:row>182</xdr:row>
      <xdr:rowOff>28575</xdr:rowOff>
    </xdr:from>
    <xdr:to>
      <xdr:col>28</xdr:col>
      <xdr:colOff>50800</xdr:colOff>
      <xdr:row>195</xdr:row>
      <xdr:rowOff>76200</xdr:rowOff>
    </xdr:to>
    <xdr:graphicFrame macro="">
      <xdr:nvGraphicFramePr>
        <xdr:cNvPr id="431" name="Gráfico 430">
          <a:extLst>
            <a:ext uri="{FF2B5EF4-FFF2-40B4-BE49-F238E27FC236}">
              <a16:creationId xmlns:a16="http://schemas.microsoft.com/office/drawing/2014/main" id="{9BEA4676-CDB8-4575-B0B1-9E81A2339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42</xdr:col>
      <xdr:colOff>523875</xdr:colOff>
      <xdr:row>181</xdr:row>
      <xdr:rowOff>142875</xdr:rowOff>
    </xdr:from>
    <xdr:to>
      <xdr:col>47</xdr:col>
      <xdr:colOff>104775</xdr:colOff>
      <xdr:row>195</xdr:row>
      <xdr:rowOff>152399</xdr:rowOff>
    </xdr:to>
    <xdr:graphicFrame macro="">
      <xdr:nvGraphicFramePr>
        <xdr:cNvPr id="432" name="Gráfico 431">
          <a:extLst>
            <a:ext uri="{FF2B5EF4-FFF2-40B4-BE49-F238E27FC236}">
              <a16:creationId xmlns:a16="http://schemas.microsoft.com/office/drawing/2014/main" id="{078DE925-0BC4-460F-A03E-D805BBC0F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10</xdr:col>
      <xdr:colOff>285750</xdr:colOff>
      <xdr:row>200</xdr:row>
      <xdr:rowOff>142875</xdr:rowOff>
    </xdr:from>
    <xdr:to>
      <xdr:col>14</xdr:col>
      <xdr:colOff>517525</xdr:colOff>
      <xdr:row>213</xdr:row>
      <xdr:rowOff>171450</xdr:rowOff>
    </xdr:to>
    <xdr:graphicFrame macro="">
      <xdr:nvGraphicFramePr>
        <xdr:cNvPr id="433" name="Gráfico 432">
          <a:extLst>
            <a:ext uri="{FF2B5EF4-FFF2-40B4-BE49-F238E27FC236}">
              <a16:creationId xmlns:a16="http://schemas.microsoft.com/office/drawing/2014/main" id="{2EFFE480-E3A4-49EF-BE60-7E8060800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28</xdr:col>
      <xdr:colOff>209550</xdr:colOff>
      <xdr:row>200</xdr:row>
      <xdr:rowOff>114299</xdr:rowOff>
    </xdr:from>
    <xdr:to>
      <xdr:col>32</xdr:col>
      <xdr:colOff>675481</xdr:colOff>
      <xdr:row>213</xdr:row>
      <xdr:rowOff>171450</xdr:rowOff>
    </xdr:to>
    <xdr:graphicFrame macro="">
      <xdr:nvGraphicFramePr>
        <xdr:cNvPr id="434" name="Gráfico 433">
          <a:extLst>
            <a:ext uri="{FF2B5EF4-FFF2-40B4-BE49-F238E27FC236}">
              <a16:creationId xmlns:a16="http://schemas.microsoft.com/office/drawing/2014/main" id="{53EDC20D-3602-40B8-8CC1-7342E26DD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32</xdr:col>
      <xdr:colOff>723900</xdr:colOff>
      <xdr:row>200</xdr:row>
      <xdr:rowOff>95250</xdr:rowOff>
    </xdr:from>
    <xdr:to>
      <xdr:col>37</xdr:col>
      <xdr:colOff>505620</xdr:colOff>
      <xdr:row>214</xdr:row>
      <xdr:rowOff>19050</xdr:rowOff>
    </xdr:to>
    <xdr:graphicFrame macro="">
      <xdr:nvGraphicFramePr>
        <xdr:cNvPr id="435" name="Gráfico 434">
          <a:extLst>
            <a:ext uri="{FF2B5EF4-FFF2-40B4-BE49-F238E27FC236}">
              <a16:creationId xmlns:a16="http://schemas.microsoft.com/office/drawing/2014/main" id="{E6700B52-38DB-42D2-9522-A76BC7B54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37</xdr:col>
      <xdr:colOff>571500</xdr:colOff>
      <xdr:row>200</xdr:row>
      <xdr:rowOff>73025</xdr:rowOff>
    </xdr:from>
    <xdr:to>
      <xdr:col>42</xdr:col>
      <xdr:colOff>473076</xdr:colOff>
      <xdr:row>214</xdr:row>
      <xdr:rowOff>38099</xdr:rowOff>
    </xdr:to>
    <xdr:graphicFrame macro="">
      <xdr:nvGraphicFramePr>
        <xdr:cNvPr id="436" name="Gráfico 435">
          <a:extLst>
            <a:ext uri="{FF2B5EF4-FFF2-40B4-BE49-F238E27FC236}">
              <a16:creationId xmlns:a16="http://schemas.microsoft.com/office/drawing/2014/main" id="{0CDEB046-8D93-4DD1-9DC8-84078403D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47</xdr:col>
      <xdr:colOff>247649</xdr:colOff>
      <xdr:row>200</xdr:row>
      <xdr:rowOff>62707</xdr:rowOff>
    </xdr:from>
    <xdr:to>
      <xdr:col>51</xdr:col>
      <xdr:colOff>533400</xdr:colOff>
      <xdr:row>214</xdr:row>
      <xdr:rowOff>38099</xdr:rowOff>
    </xdr:to>
    <xdr:graphicFrame macro="">
      <xdr:nvGraphicFramePr>
        <xdr:cNvPr id="437" name="Gráfico 436">
          <a:extLst>
            <a:ext uri="{FF2B5EF4-FFF2-40B4-BE49-F238E27FC236}">
              <a16:creationId xmlns:a16="http://schemas.microsoft.com/office/drawing/2014/main" id="{2B3C41FB-D520-4AC1-9F47-34F19C7D0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51</xdr:col>
      <xdr:colOff>571500</xdr:colOff>
      <xdr:row>200</xdr:row>
      <xdr:rowOff>66674</xdr:rowOff>
    </xdr:from>
    <xdr:to>
      <xdr:col>55</xdr:col>
      <xdr:colOff>781050</xdr:colOff>
      <xdr:row>214</xdr:row>
      <xdr:rowOff>0</xdr:rowOff>
    </xdr:to>
    <xdr:graphicFrame macro="">
      <xdr:nvGraphicFramePr>
        <xdr:cNvPr id="438" name="Gráfico 437">
          <a:extLst>
            <a:ext uri="{FF2B5EF4-FFF2-40B4-BE49-F238E27FC236}">
              <a16:creationId xmlns:a16="http://schemas.microsoft.com/office/drawing/2014/main" id="{44A3D1C2-A1DF-489E-839A-8B4D0A02A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6</xdr:col>
      <xdr:colOff>190500</xdr:colOff>
      <xdr:row>200</xdr:row>
      <xdr:rowOff>104775</xdr:rowOff>
    </xdr:from>
    <xdr:to>
      <xdr:col>10</xdr:col>
      <xdr:colOff>250825</xdr:colOff>
      <xdr:row>213</xdr:row>
      <xdr:rowOff>123825</xdr:rowOff>
    </xdr:to>
    <xdr:graphicFrame macro="">
      <xdr:nvGraphicFramePr>
        <xdr:cNvPr id="439" name="Gráfico 438">
          <a:extLst>
            <a:ext uri="{FF2B5EF4-FFF2-40B4-BE49-F238E27FC236}">
              <a16:creationId xmlns:a16="http://schemas.microsoft.com/office/drawing/2014/main" id="{5318CB46-7D68-40D5-8AC8-D341A0EC9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14</xdr:col>
      <xdr:colOff>571500</xdr:colOff>
      <xdr:row>200</xdr:row>
      <xdr:rowOff>161925</xdr:rowOff>
    </xdr:from>
    <xdr:to>
      <xdr:col>18</xdr:col>
      <xdr:colOff>838199</xdr:colOff>
      <xdr:row>213</xdr:row>
      <xdr:rowOff>171450</xdr:rowOff>
    </xdr:to>
    <xdr:graphicFrame macro="">
      <xdr:nvGraphicFramePr>
        <xdr:cNvPr id="440" name="Gráfico 439">
          <a:extLst>
            <a:ext uri="{FF2B5EF4-FFF2-40B4-BE49-F238E27FC236}">
              <a16:creationId xmlns:a16="http://schemas.microsoft.com/office/drawing/2014/main" id="{6FEF9D10-42EC-4034-8617-789CC1F0E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19</xdr:col>
      <xdr:colOff>19050</xdr:colOff>
      <xdr:row>200</xdr:row>
      <xdr:rowOff>161925</xdr:rowOff>
    </xdr:from>
    <xdr:to>
      <xdr:col>23</xdr:col>
      <xdr:colOff>422275</xdr:colOff>
      <xdr:row>214</xdr:row>
      <xdr:rowOff>0</xdr:rowOff>
    </xdr:to>
    <xdr:graphicFrame macro="">
      <xdr:nvGraphicFramePr>
        <xdr:cNvPr id="441" name="Gráfico 440">
          <a:extLst>
            <a:ext uri="{FF2B5EF4-FFF2-40B4-BE49-F238E27FC236}">
              <a16:creationId xmlns:a16="http://schemas.microsoft.com/office/drawing/2014/main" id="{C8E512FD-B785-4E72-BE91-E5D14EEF1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23</xdr:col>
      <xdr:colOff>457200</xdr:colOff>
      <xdr:row>200</xdr:row>
      <xdr:rowOff>123825</xdr:rowOff>
    </xdr:from>
    <xdr:to>
      <xdr:col>28</xdr:col>
      <xdr:colOff>98425</xdr:colOff>
      <xdr:row>213</xdr:row>
      <xdr:rowOff>171450</xdr:rowOff>
    </xdr:to>
    <xdr:graphicFrame macro="">
      <xdr:nvGraphicFramePr>
        <xdr:cNvPr id="442" name="Gráfico 441">
          <a:extLst>
            <a:ext uri="{FF2B5EF4-FFF2-40B4-BE49-F238E27FC236}">
              <a16:creationId xmlns:a16="http://schemas.microsoft.com/office/drawing/2014/main" id="{C8D9B364-4F9D-4973-A436-79F15FCBB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42</xdr:col>
      <xdr:colOff>571500</xdr:colOff>
      <xdr:row>200</xdr:row>
      <xdr:rowOff>47625</xdr:rowOff>
    </xdr:from>
    <xdr:to>
      <xdr:col>47</xdr:col>
      <xdr:colOff>152400</xdr:colOff>
      <xdr:row>214</xdr:row>
      <xdr:rowOff>57149</xdr:rowOff>
    </xdr:to>
    <xdr:graphicFrame macro="">
      <xdr:nvGraphicFramePr>
        <xdr:cNvPr id="443" name="Gráfico 442">
          <a:extLst>
            <a:ext uri="{FF2B5EF4-FFF2-40B4-BE49-F238E27FC236}">
              <a16:creationId xmlns:a16="http://schemas.microsoft.com/office/drawing/2014/main" id="{6A3FBF05-0A1F-439C-88D7-A80DC1934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10</xdr:col>
      <xdr:colOff>381000</xdr:colOff>
      <xdr:row>220</xdr:row>
      <xdr:rowOff>0</xdr:rowOff>
    </xdr:from>
    <xdr:to>
      <xdr:col>14</xdr:col>
      <xdr:colOff>612775</xdr:colOff>
      <xdr:row>233</xdr:row>
      <xdr:rowOff>28575</xdr:rowOff>
    </xdr:to>
    <xdr:graphicFrame macro="">
      <xdr:nvGraphicFramePr>
        <xdr:cNvPr id="444" name="Gráfico 443">
          <a:extLst>
            <a:ext uri="{FF2B5EF4-FFF2-40B4-BE49-F238E27FC236}">
              <a16:creationId xmlns:a16="http://schemas.microsoft.com/office/drawing/2014/main" id="{C40C88CC-3339-4564-A6A2-F6AC1C03E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28</xdr:col>
      <xdr:colOff>304800</xdr:colOff>
      <xdr:row>219</xdr:row>
      <xdr:rowOff>161924</xdr:rowOff>
    </xdr:from>
    <xdr:to>
      <xdr:col>32</xdr:col>
      <xdr:colOff>770731</xdr:colOff>
      <xdr:row>233</xdr:row>
      <xdr:rowOff>28575</xdr:rowOff>
    </xdr:to>
    <xdr:graphicFrame macro="">
      <xdr:nvGraphicFramePr>
        <xdr:cNvPr id="445" name="Gráfico 444">
          <a:extLst>
            <a:ext uri="{FF2B5EF4-FFF2-40B4-BE49-F238E27FC236}">
              <a16:creationId xmlns:a16="http://schemas.microsoft.com/office/drawing/2014/main" id="{F2B95E8C-21B0-4719-A3AF-97E781C34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32</xdr:col>
      <xdr:colOff>819150</xdr:colOff>
      <xdr:row>219</xdr:row>
      <xdr:rowOff>142875</xdr:rowOff>
    </xdr:from>
    <xdr:to>
      <xdr:col>37</xdr:col>
      <xdr:colOff>600870</xdr:colOff>
      <xdr:row>233</xdr:row>
      <xdr:rowOff>66675</xdr:rowOff>
    </xdr:to>
    <xdr:graphicFrame macro="">
      <xdr:nvGraphicFramePr>
        <xdr:cNvPr id="446" name="Gráfico 445">
          <a:extLst>
            <a:ext uri="{FF2B5EF4-FFF2-40B4-BE49-F238E27FC236}">
              <a16:creationId xmlns:a16="http://schemas.microsoft.com/office/drawing/2014/main" id="{397AF26A-925D-449D-B949-1A736D5EE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37</xdr:col>
      <xdr:colOff>666750</xdr:colOff>
      <xdr:row>219</xdr:row>
      <xdr:rowOff>120650</xdr:rowOff>
    </xdr:from>
    <xdr:to>
      <xdr:col>42</xdr:col>
      <xdr:colOff>568326</xdr:colOff>
      <xdr:row>233</xdr:row>
      <xdr:rowOff>85724</xdr:rowOff>
    </xdr:to>
    <xdr:graphicFrame macro="">
      <xdr:nvGraphicFramePr>
        <xdr:cNvPr id="447" name="Gráfico 446">
          <a:extLst>
            <a:ext uri="{FF2B5EF4-FFF2-40B4-BE49-F238E27FC236}">
              <a16:creationId xmlns:a16="http://schemas.microsoft.com/office/drawing/2014/main" id="{1BCE7EB5-9DB4-41FB-9060-FFE47F5CD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47</xdr:col>
      <xdr:colOff>342899</xdr:colOff>
      <xdr:row>219</xdr:row>
      <xdr:rowOff>110332</xdr:rowOff>
    </xdr:from>
    <xdr:to>
      <xdr:col>51</xdr:col>
      <xdr:colOff>628650</xdr:colOff>
      <xdr:row>233</xdr:row>
      <xdr:rowOff>85724</xdr:rowOff>
    </xdr:to>
    <xdr:graphicFrame macro="">
      <xdr:nvGraphicFramePr>
        <xdr:cNvPr id="448" name="Gráfico 447">
          <a:extLst>
            <a:ext uri="{FF2B5EF4-FFF2-40B4-BE49-F238E27FC236}">
              <a16:creationId xmlns:a16="http://schemas.microsoft.com/office/drawing/2014/main" id="{13E0DE85-E710-438E-B260-8D361D46D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51</xdr:col>
      <xdr:colOff>666750</xdr:colOff>
      <xdr:row>219</xdr:row>
      <xdr:rowOff>114299</xdr:rowOff>
    </xdr:from>
    <xdr:to>
      <xdr:col>56</xdr:col>
      <xdr:colOff>19050</xdr:colOff>
      <xdr:row>233</xdr:row>
      <xdr:rowOff>47625</xdr:rowOff>
    </xdr:to>
    <xdr:graphicFrame macro="">
      <xdr:nvGraphicFramePr>
        <xdr:cNvPr id="449" name="Gráfico 448">
          <a:extLst>
            <a:ext uri="{FF2B5EF4-FFF2-40B4-BE49-F238E27FC236}">
              <a16:creationId xmlns:a16="http://schemas.microsoft.com/office/drawing/2014/main" id="{005263F2-5C71-41A0-AE35-6DE712377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6</xdr:col>
      <xdr:colOff>285750</xdr:colOff>
      <xdr:row>219</xdr:row>
      <xdr:rowOff>152400</xdr:rowOff>
    </xdr:from>
    <xdr:to>
      <xdr:col>10</xdr:col>
      <xdr:colOff>346075</xdr:colOff>
      <xdr:row>232</xdr:row>
      <xdr:rowOff>171450</xdr:rowOff>
    </xdr:to>
    <xdr:graphicFrame macro="">
      <xdr:nvGraphicFramePr>
        <xdr:cNvPr id="450" name="Gráfico 449">
          <a:extLst>
            <a:ext uri="{FF2B5EF4-FFF2-40B4-BE49-F238E27FC236}">
              <a16:creationId xmlns:a16="http://schemas.microsoft.com/office/drawing/2014/main" id="{035DFE71-F930-4226-84C2-2828E5219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14</xdr:col>
      <xdr:colOff>666750</xdr:colOff>
      <xdr:row>220</xdr:row>
      <xdr:rowOff>19050</xdr:rowOff>
    </xdr:from>
    <xdr:to>
      <xdr:col>19</xdr:col>
      <xdr:colOff>76199</xdr:colOff>
      <xdr:row>233</xdr:row>
      <xdr:rowOff>28575</xdr:rowOff>
    </xdr:to>
    <xdr:graphicFrame macro="">
      <xdr:nvGraphicFramePr>
        <xdr:cNvPr id="451" name="Gráfico 450">
          <a:extLst>
            <a:ext uri="{FF2B5EF4-FFF2-40B4-BE49-F238E27FC236}">
              <a16:creationId xmlns:a16="http://schemas.microsoft.com/office/drawing/2014/main" id="{ACB67334-0456-4C6A-90A4-56E63756B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19</xdr:col>
      <xdr:colOff>114300</xdr:colOff>
      <xdr:row>220</xdr:row>
      <xdr:rowOff>19050</xdr:rowOff>
    </xdr:from>
    <xdr:to>
      <xdr:col>23</xdr:col>
      <xdr:colOff>517525</xdr:colOff>
      <xdr:row>233</xdr:row>
      <xdr:rowOff>47625</xdr:rowOff>
    </xdr:to>
    <xdr:graphicFrame macro="">
      <xdr:nvGraphicFramePr>
        <xdr:cNvPr id="452" name="Gráfico 451">
          <a:extLst>
            <a:ext uri="{FF2B5EF4-FFF2-40B4-BE49-F238E27FC236}">
              <a16:creationId xmlns:a16="http://schemas.microsoft.com/office/drawing/2014/main" id="{E0AD07DB-5FFD-4E73-99C2-2F0278F24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23</xdr:col>
      <xdr:colOff>552450</xdr:colOff>
      <xdr:row>219</xdr:row>
      <xdr:rowOff>171450</xdr:rowOff>
    </xdr:from>
    <xdr:to>
      <xdr:col>28</xdr:col>
      <xdr:colOff>193675</xdr:colOff>
      <xdr:row>233</xdr:row>
      <xdr:rowOff>28575</xdr:rowOff>
    </xdr:to>
    <xdr:graphicFrame macro="">
      <xdr:nvGraphicFramePr>
        <xdr:cNvPr id="453" name="Gráfico 452">
          <a:extLst>
            <a:ext uri="{FF2B5EF4-FFF2-40B4-BE49-F238E27FC236}">
              <a16:creationId xmlns:a16="http://schemas.microsoft.com/office/drawing/2014/main" id="{E70E0CF3-9C46-4E07-8876-6AA9D956F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42</xdr:col>
      <xdr:colOff>666750</xdr:colOff>
      <xdr:row>219</xdr:row>
      <xdr:rowOff>95250</xdr:rowOff>
    </xdr:from>
    <xdr:to>
      <xdr:col>47</xdr:col>
      <xdr:colOff>247650</xdr:colOff>
      <xdr:row>233</xdr:row>
      <xdr:rowOff>104774</xdr:rowOff>
    </xdr:to>
    <xdr:graphicFrame macro="">
      <xdr:nvGraphicFramePr>
        <xdr:cNvPr id="454" name="Gráfico 453">
          <a:extLst>
            <a:ext uri="{FF2B5EF4-FFF2-40B4-BE49-F238E27FC236}">
              <a16:creationId xmlns:a16="http://schemas.microsoft.com/office/drawing/2014/main" id="{31617D72-5827-429E-8A37-09A280F9E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10</xdr:col>
      <xdr:colOff>381000</xdr:colOff>
      <xdr:row>238</xdr:row>
      <xdr:rowOff>47625</xdr:rowOff>
    </xdr:from>
    <xdr:to>
      <xdr:col>14</xdr:col>
      <xdr:colOff>612775</xdr:colOff>
      <xdr:row>251</xdr:row>
      <xdr:rowOff>76200</xdr:rowOff>
    </xdr:to>
    <xdr:graphicFrame macro="">
      <xdr:nvGraphicFramePr>
        <xdr:cNvPr id="455" name="Gráfico 454">
          <a:extLst>
            <a:ext uri="{FF2B5EF4-FFF2-40B4-BE49-F238E27FC236}">
              <a16:creationId xmlns:a16="http://schemas.microsoft.com/office/drawing/2014/main" id="{34F844B1-FB40-4F12-90B0-C276E5B52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28</xdr:col>
      <xdr:colOff>304800</xdr:colOff>
      <xdr:row>238</xdr:row>
      <xdr:rowOff>19049</xdr:rowOff>
    </xdr:from>
    <xdr:to>
      <xdr:col>32</xdr:col>
      <xdr:colOff>770731</xdr:colOff>
      <xdr:row>251</xdr:row>
      <xdr:rowOff>76200</xdr:rowOff>
    </xdr:to>
    <xdr:graphicFrame macro="">
      <xdr:nvGraphicFramePr>
        <xdr:cNvPr id="456" name="Gráfico 455">
          <a:extLst>
            <a:ext uri="{FF2B5EF4-FFF2-40B4-BE49-F238E27FC236}">
              <a16:creationId xmlns:a16="http://schemas.microsoft.com/office/drawing/2014/main" id="{E1CC6461-57C0-46F3-A032-7264701AB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32</xdr:col>
      <xdr:colOff>819150</xdr:colOff>
      <xdr:row>238</xdr:row>
      <xdr:rowOff>0</xdr:rowOff>
    </xdr:from>
    <xdr:to>
      <xdr:col>37</xdr:col>
      <xdr:colOff>600870</xdr:colOff>
      <xdr:row>251</xdr:row>
      <xdr:rowOff>114300</xdr:rowOff>
    </xdr:to>
    <xdr:graphicFrame macro="">
      <xdr:nvGraphicFramePr>
        <xdr:cNvPr id="457" name="Gráfico 456">
          <a:extLst>
            <a:ext uri="{FF2B5EF4-FFF2-40B4-BE49-F238E27FC236}">
              <a16:creationId xmlns:a16="http://schemas.microsoft.com/office/drawing/2014/main" id="{29A6CFEA-917F-438C-8229-4A3257D78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37</xdr:col>
      <xdr:colOff>666750</xdr:colOff>
      <xdr:row>237</xdr:row>
      <xdr:rowOff>168275</xdr:rowOff>
    </xdr:from>
    <xdr:to>
      <xdr:col>42</xdr:col>
      <xdr:colOff>568326</xdr:colOff>
      <xdr:row>251</xdr:row>
      <xdr:rowOff>133349</xdr:rowOff>
    </xdr:to>
    <xdr:graphicFrame macro="">
      <xdr:nvGraphicFramePr>
        <xdr:cNvPr id="458" name="Gráfico 457">
          <a:extLst>
            <a:ext uri="{FF2B5EF4-FFF2-40B4-BE49-F238E27FC236}">
              <a16:creationId xmlns:a16="http://schemas.microsoft.com/office/drawing/2014/main" id="{C81A7F94-2772-42CD-9509-EC18B065A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47</xdr:col>
      <xdr:colOff>342899</xdr:colOff>
      <xdr:row>237</xdr:row>
      <xdr:rowOff>157957</xdr:rowOff>
    </xdr:from>
    <xdr:to>
      <xdr:col>51</xdr:col>
      <xdr:colOff>628650</xdr:colOff>
      <xdr:row>251</xdr:row>
      <xdr:rowOff>133349</xdr:rowOff>
    </xdr:to>
    <xdr:graphicFrame macro="">
      <xdr:nvGraphicFramePr>
        <xdr:cNvPr id="459" name="Gráfico 458">
          <a:extLst>
            <a:ext uri="{FF2B5EF4-FFF2-40B4-BE49-F238E27FC236}">
              <a16:creationId xmlns:a16="http://schemas.microsoft.com/office/drawing/2014/main" id="{2ADF93AB-0EA0-4F6D-8E28-C927D4398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51</xdr:col>
      <xdr:colOff>666750</xdr:colOff>
      <xdr:row>237</xdr:row>
      <xdr:rowOff>161924</xdr:rowOff>
    </xdr:from>
    <xdr:to>
      <xdr:col>56</xdr:col>
      <xdr:colOff>19050</xdr:colOff>
      <xdr:row>251</xdr:row>
      <xdr:rowOff>95250</xdr:rowOff>
    </xdr:to>
    <xdr:graphicFrame macro="">
      <xdr:nvGraphicFramePr>
        <xdr:cNvPr id="460" name="Gráfico 459">
          <a:extLst>
            <a:ext uri="{FF2B5EF4-FFF2-40B4-BE49-F238E27FC236}">
              <a16:creationId xmlns:a16="http://schemas.microsoft.com/office/drawing/2014/main" id="{B8D6605B-4163-4115-A8F8-602922796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6</xdr:col>
      <xdr:colOff>285750</xdr:colOff>
      <xdr:row>238</xdr:row>
      <xdr:rowOff>9525</xdr:rowOff>
    </xdr:from>
    <xdr:to>
      <xdr:col>10</xdr:col>
      <xdr:colOff>346075</xdr:colOff>
      <xdr:row>251</xdr:row>
      <xdr:rowOff>28575</xdr:rowOff>
    </xdr:to>
    <xdr:graphicFrame macro="">
      <xdr:nvGraphicFramePr>
        <xdr:cNvPr id="461" name="Gráfico 460">
          <a:extLst>
            <a:ext uri="{FF2B5EF4-FFF2-40B4-BE49-F238E27FC236}">
              <a16:creationId xmlns:a16="http://schemas.microsoft.com/office/drawing/2014/main" id="{85656C44-2710-426F-BCE8-EFFF8E0FB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14</xdr:col>
      <xdr:colOff>666750</xdr:colOff>
      <xdr:row>238</xdr:row>
      <xdr:rowOff>66675</xdr:rowOff>
    </xdr:from>
    <xdr:to>
      <xdr:col>19</xdr:col>
      <xdr:colOff>76199</xdr:colOff>
      <xdr:row>251</xdr:row>
      <xdr:rowOff>76200</xdr:rowOff>
    </xdr:to>
    <xdr:graphicFrame macro="">
      <xdr:nvGraphicFramePr>
        <xdr:cNvPr id="462" name="Gráfico 461">
          <a:extLst>
            <a:ext uri="{FF2B5EF4-FFF2-40B4-BE49-F238E27FC236}">
              <a16:creationId xmlns:a16="http://schemas.microsoft.com/office/drawing/2014/main" id="{55DC7CF7-0D90-46EC-BA70-75A659206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19</xdr:col>
      <xdr:colOff>114300</xdr:colOff>
      <xdr:row>238</xdr:row>
      <xdr:rowOff>66675</xdr:rowOff>
    </xdr:from>
    <xdr:to>
      <xdr:col>23</xdr:col>
      <xdr:colOff>517525</xdr:colOff>
      <xdr:row>251</xdr:row>
      <xdr:rowOff>95250</xdr:rowOff>
    </xdr:to>
    <xdr:graphicFrame macro="">
      <xdr:nvGraphicFramePr>
        <xdr:cNvPr id="463" name="Gráfico 462">
          <a:extLst>
            <a:ext uri="{FF2B5EF4-FFF2-40B4-BE49-F238E27FC236}">
              <a16:creationId xmlns:a16="http://schemas.microsoft.com/office/drawing/2014/main" id="{A7840910-9D09-4084-896E-1B83A9670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23</xdr:col>
      <xdr:colOff>552450</xdr:colOff>
      <xdr:row>238</xdr:row>
      <xdr:rowOff>28575</xdr:rowOff>
    </xdr:from>
    <xdr:to>
      <xdr:col>28</xdr:col>
      <xdr:colOff>193675</xdr:colOff>
      <xdr:row>251</xdr:row>
      <xdr:rowOff>76200</xdr:rowOff>
    </xdr:to>
    <xdr:graphicFrame macro="">
      <xdr:nvGraphicFramePr>
        <xdr:cNvPr id="464" name="Gráfico 463">
          <a:extLst>
            <a:ext uri="{FF2B5EF4-FFF2-40B4-BE49-F238E27FC236}">
              <a16:creationId xmlns:a16="http://schemas.microsoft.com/office/drawing/2014/main" id="{1C4E5B58-B75F-448F-8EC4-C28CB648E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42</xdr:col>
      <xdr:colOff>666750</xdr:colOff>
      <xdr:row>237</xdr:row>
      <xdr:rowOff>142875</xdr:rowOff>
    </xdr:from>
    <xdr:to>
      <xdr:col>47</xdr:col>
      <xdr:colOff>247650</xdr:colOff>
      <xdr:row>251</xdr:row>
      <xdr:rowOff>152399</xdr:rowOff>
    </xdr:to>
    <xdr:graphicFrame macro="">
      <xdr:nvGraphicFramePr>
        <xdr:cNvPr id="465" name="Gráfico 464">
          <a:extLst>
            <a:ext uri="{FF2B5EF4-FFF2-40B4-BE49-F238E27FC236}">
              <a16:creationId xmlns:a16="http://schemas.microsoft.com/office/drawing/2014/main" id="{EADC37FA-F4F9-4363-9F57-76B93AEB5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10</xdr:col>
      <xdr:colOff>476250</xdr:colOff>
      <xdr:row>257</xdr:row>
      <xdr:rowOff>142875</xdr:rowOff>
    </xdr:from>
    <xdr:to>
      <xdr:col>14</xdr:col>
      <xdr:colOff>708025</xdr:colOff>
      <xdr:row>270</xdr:row>
      <xdr:rowOff>171450</xdr:rowOff>
    </xdr:to>
    <xdr:graphicFrame macro="">
      <xdr:nvGraphicFramePr>
        <xdr:cNvPr id="466" name="Gráfico 465">
          <a:extLst>
            <a:ext uri="{FF2B5EF4-FFF2-40B4-BE49-F238E27FC236}">
              <a16:creationId xmlns:a16="http://schemas.microsoft.com/office/drawing/2014/main" id="{AE250E33-2CF6-4D45-ADD3-619F21C37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28</xdr:col>
      <xdr:colOff>400050</xdr:colOff>
      <xdr:row>257</xdr:row>
      <xdr:rowOff>114299</xdr:rowOff>
    </xdr:from>
    <xdr:to>
      <xdr:col>33</xdr:col>
      <xdr:colOff>8731</xdr:colOff>
      <xdr:row>270</xdr:row>
      <xdr:rowOff>171450</xdr:rowOff>
    </xdr:to>
    <xdr:graphicFrame macro="">
      <xdr:nvGraphicFramePr>
        <xdr:cNvPr id="467" name="Gráfico 466">
          <a:extLst>
            <a:ext uri="{FF2B5EF4-FFF2-40B4-BE49-F238E27FC236}">
              <a16:creationId xmlns:a16="http://schemas.microsoft.com/office/drawing/2014/main" id="{5F7D3E31-5545-4DE7-9A38-C23880986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33</xdr:col>
      <xdr:colOff>57150</xdr:colOff>
      <xdr:row>257</xdr:row>
      <xdr:rowOff>95250</xdr:rowOff>
    </xdr:from>
    <xdr:to>
      <xdr:col>37</xdr:col>
      <xdr:colOff>696120</xdr:colOff>
      <xdr:row>271</xdr:row>
      <xdr:rowOff>19050</xdr:rowOff>
    </xdr:to>
    <xdr:graphicFrame macro="">
      <xdr:nvGraphicFramePr>
        <xdr:cNvPr id="468" name="Gráfico 467">
          <a:extLst>
            <a:ext uri="{FF2B5EF4-FFF2-40B4-BE49-F238E27FC236}">
              <a16:creationId xmlns:a16="http://schemas.microsoft.com/office/drawing/2014/main" id="{5097D432-A2B9-48C8-AF0B-DF80F2B6C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37</xdr:col>
      <xdr:colOff>762000</xdr:colOff>
      <xdr:row>257</xdr:row>
      <xdr:rowOff>73025</xdr:rowOff>
    </xdr:from>
    <xdr:to>
      <xdr:col>42</xdr:col>
      <xdr:colOff>663576</xdr:colOff>
      <xdr:row>271</xdr:row>
      <xdr:rowOff>38099</xdr:rowOff>
    </xdr:to>
    <xdr:graphicFrame macro="">
      <xdr:nvGraphicFramePr>
        <xdr:cNvPr id="469" name="Gráfico 468">
          <a:extLst>
            <a:ext uri="{FF2B5EF4-FFF2-40B4-BE49-F238E27FC236}">
              <a16:creationId xmlns:a16="http://schemas.microsoft.com/office/drawing/2014/main" id="{CD370C02-BD05-430F-9FE8-7F34857B8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47</xdr:col>
      <xdr:colOff>438149</xdr:colOff>
      <xdr:row>257</xdr:row>
      <xdr:rowOff>62707</xdr:rowOff>
    </xdr:from>
    <xdr:to>
      <xdr:col>51</xdr:col>
      <xdr:colOff>723900</xdr:colOff>
      <xdr:row>271</xdr:row>
      <xdr:rowOff>38099</xdr:rowOff>
    </xdr:to>
    <xdr:graphicFrame macro="">
      <xdr:nvGraphicFramePr>
        <xdr:cNvPr id="470" name="Gráfico 469">
          <a:extLst>
            <a:ext uri="{FF2B5EF4-FFF2-40B4-BE49-F238E27FC236}">
              <a16:creationId xmlns:a16="http://schemas.microsoft.com/office/drawing/2014/main" id="{BC66B6B9-88C3-4449-A10E-42CA51805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51</xdr:col>
      <xdr:colOff>762000</xdr:colOff>
      <xdr:row>257</xdr:row>
      <xdr:rowOff>66674</xdr:rowOff>
    </xdr:from>
    <xdr:to>
      <xdr:col>56</xdr:col>
      <xdr:colOff>114300</xdr:colOff>
      <xdr:row>271</xdr:row>
      <xdr:rowOff>0</xdr:rowOff>
    </xdr:to>
    <xdr:graphicFrame macro="">
      <xdr:nvGraphicFramePr>
        <xdr:cNvPr id="471" name="Gráfico 470">
          <a:extLst>
            <a:ext uri="{FF2B5EF4-FFF2-40B4-BE49-F238E27FC236}">
              <a16:creationId xmlns:a16="http://schemas.microsoft.com/office/drawing/2014/main" id="{68A19CCA-3877-4018-B447-60DEC78B0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6</xdr:col>
      <xdr:colOff>381000</xdr:colOff>
      <xdr:row>257</xdr:row>
      <xdr:rowOff>104775</xdr:rowOff>
    </xdr:from>
    <xdr:to>
      <xdr:col>10</xdr:col>
      <xdr:colOff>441325</xdr:colOff>
      <xdr:row>270</xdr:row>
      <xdr:rowOff>123825</xdr:rowOff>
    </xdr:to>
    <xdr:graphicFrame macro="">
      <xdr:nvGraphicFramePr>
        <xdr:cNvPr id="472" name="Gráfico 471">
          <a:extLst>
            <a:ext uri="{FF2B5EF4-FFF2-40B4-BE49-F238E27FC236}">
              <a16:creationId xmlns:a16="http://schemas.microsoft.com/office/drawing/2014/main" id="{742F519A-B5B2-472A-B7A0-A43DECB20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14</xdr:col>
      <xdr:colOff>762000</xdr:colOff>
      <xdr:row>257</xdr:row>
      <xdr:rowOff>161925</xdr:rowOff>
    </xdr:from>
    <xdr:to>
      <xdr:col>19</xdr:col>
      <xdr:colOff>171449</xdr:colOff>
      <xdr:row>270</xdr:row>
      <xdr:rowOff>171450</xdr:rowOff>
    </xdr:to>
    <xdr:graphicFrame macro="">
      <xdr:nvGraphicFramePr>
        <xdr:cNvPr id="473" name="Gráfico 472">
          <a:extLst>
            <a:ext uri="{FF2B5EF4-FFF2-40B4-BE49-F238E27FC236}">
              <a16:creationId xmlns:a16="http://schemas.microsoft.com/office/drawing/2014/main" id="{F89F36AA-A94A-43AD-81B1-B7F4E8A7A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19</xdr:col>
      <xdr:colOff>209550</xdr:colOff>
      <xdr:row>257</xdr:row>
      <xdr:rowOff>161925</xdr:rowOff>
    </xdr:from>
    <xdr:to>
      <xdr:col>23</xdr:col>
      <xdr:colOff>612775</xdr:colOff>
      <xdr:row>271</xdr:row>
      <xdr:rowOff>0</xdr:rowOff>
    </xdr:to>
    <xdr:graphicFrame macro="">
      <xdr:nvGraphicFramePr>
        <xdr:cNvPr id="474" name="Gráfico 473">
          <a:extLst>
            <a:ext uri="{FF2B5EF4-FFF2-40B4-BE49-F238E27FC236}">
              <a16:creationId xmlns:a16="http://schemas.microsoft.com/office/drawing/2014/main" id="{08E86C49-53B1-4364-A97E-7B052375C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23</xdr:col>
      <xdr:colOff>647700</xdr:colOff>
      <xdr:row>257</xdr:row>
      <xdr:rowOff>123825</xdr:rowOff>
    </xdr:from>
    <xdr:to>
      <xdr:col>28</xdr:col>
      <xdr:colOff>288925</xdr:colOff>
      <xdr:row>270</xdr:row>
      <xdr:rowOff>171450</xdr:rowOff>
    </xdr:to>
    <xdr:graphicFrame macro="">
      <xdr:nvGraphicFramePr>
        <xdr:cNvPr id="475" name="Gráfico 474">
          <a:extLst>
            <a:ext uri="{FF2B5EF4-FFF2-40B4-BE49-F238E27FC236}">
              <a16:creationId xmlns:a16="http://schemas.microsoft.com/office/drawing/2014/main" id="{4AB48916-CFFA-4152-939F-BD1874BCA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42</xdr:col>
      <xdr:colOff>762000</xdr:colOff>
      <xdr:row>257</xdr:row>
      <xdr:rowOff>47625</xdr:rowOff>
    </xdr:from>
    <xdr:to>
      <xdr:col>47</xdr:col>
      <xdr:colOff>342900</xdr:colOff>
      <xdr:row>271</xdr:row>
      <xdr:rowOff>57149</xdr:rowOff>
    </xdr:to>
    <xdr:graphicFrame macro="">
      <xdr:nvGraphicFramePr>
        <xdr:cNvPr id="476" name="Gráfico 475">
          <a:extLst>
            <a:ext uri="{FF2B5EF4-FFF2-40B4-BE49-F238E27FC236}">
              <a16:creationId xmlns:a16="http://schemas.microsoft.com/office/drawing/2014/main" id="{18813424-AA55-4788-8F8E-D743C7D58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10</xdr:col>
      <xdr:colOff>571500</xdr:colOff>
      <xdr:row>276</xdr:row>
      <xdr:rowOff>142875</xdr:rowOff>
    </xdr:from>
    <xdr:to>
      <xdr:col>14</xdr:col>
      <xdr:colOff>803275</xdr:colOff>
      <xdr:row>289</xdr:row>
      <xdr:rowOff>171450</xdr:rowOff>
    </xdr:to>
    <xdr:graphicFrame macro="">
      <xdr:nvGraphicFramePr>
        <xdr:cNvPr id="477" name="Gráfico 476">
          <a:extLst>
            <a:ext uri="{FF2B5EF4-FFF2-40B4-BE49-F238E27FC236}">
              <a16:creationId xmlns:a16="http://schemas.microsoft.com/office/drawing/2014/main" id="{DB8FD1CE-7B9D-4892-AFFD-4B8D62B48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28</xdr:col>
      <xdr:colOff>495300</xdr:colOff>
      <xdr:row>276</xdr:row>
      <xdr:rowOff>114299</xdr:rowOff>
    </xdr:from>
    <xdr:to>
      <xdr:col>33</xdr:col>
      <xdr:colOff>103981</xdr:colOff>
      <xdr:row>289</xdr:row>
      <xdr:rowOff>171450</xdr:rowOff>
    </xdr:to>
    <xdr:graphicFrame macro="">
      <xdr:nvGraphicFramePr>
        <xdr:cNvPr id="478" name="Gráfico 477">
          <a:extLst>
            <a:ext uri="{FF2B5EF4-FFF2-40B4-BE49-F238E27FC236}">
              <a16:creationId xmlns:a16="http://schemas.microsoft.com/office/drawing/2014/main" id="{C5528B39-6F1F-4540-88BB-5463BE485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33</xdr:col>
      <xdr:colOff>152400</xdr:colOff>
      <xdr:row>276</xdr:row>
      <xdr:rowOff>95250</xdr:rowOff>
    </xdr:from>
    <xdr:to>
      <xdr:col>37</xdr:col>
      <xdr:colOff>791370</xdr:colOff>
      <xdr:row>290</xdr:row>
      <xdr:rowOff>19050</xdr:rowOff>
    </xdr:to>
    <xdr:graphicFrame macro="">
      <xdr:nvGraphicFramePr>
        <xdr:cNvPr id="479" name="Gráfico 478">
          <a:extLst>
            <a:ext uri="{FF2B5EF4-FFF2-40B4-BE49-F238E27FC236}">
              <a16:creationId xmlns:a16="http://schemas.microsoft.com/office/drawing/2014/main" id="{D61211F8-FF41-46AB-82D7-4D4E55C4A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38</xdr:col>
      <xdr:colOff>0</xdr:colOff>
      <xdr:row>276</xdr:row>
      <xdr:rowOff>73025</xdr:rowOff>
    </xdr:from>
    <xdr:to>
      <xdr:col>42</xdr:col>
      <xdr:colOff>758826</xdr:colOff>
      <xdr:row>290</xdr:row>
      <xdr:rowOff>38099</xdr:rowOff>
    </xdr:to>
    <xdr:graphicFrame macro="">
      <xdr:nvGraphicFramePr>
        <xdr:cNvPr id="480" name="Gráfico 479">
          <a:extLst>
            <a:ext uri="{FF2B5EF4-FFF2-40B4-BE49-F238E27FC236}">
              <a16:creationId xmlns:a16="http://schemas.microsoft.com/office/drawing/2014/main" id="{FF810543-8A54-4BD4-85E3-EF24EB2B5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47</xdr:col>
      <xdr:colOff>533399</xdr:colOff>
      <xdr:row>276</xdr:row>
      <xdr:rowOff>62707</xdr:rowOff>
    </xdr:from>
    <xdr:to>
      <xdr:col>51</xdr:col>
      <xdr:colOff>819150</xdr:colOff>
      <xdr:row>290</xdr:row>
      <xdr:rowOff>38099</xdr:rowOff>
    </xdr:to>
    <xdr:graphicFrame macro="">
      <xdr:nvGraphicFramePr>
        <xdr:cNvPr id="481" name="Gráfico 480">
          <a:extLst>
            <a:ext uri="{FF2B5EF4-FFF2-40B4-BE49-F238E27FC236}">
              <a16:creationId xmlns:a16="http://schemas.microsoft.com/office/drawing/2014/main" id="{40A995C9-9FD0-4BF0-BD18-D573E5058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52</xdr:col>
      <xdr:colOff>0</xdr:colOff>
      <xdr:row>276</xdr:row>
      <xdr:rowOff>66674</xdr:rowOff>
    </xdr:from>
    <xdr:to>
      <xdr:col>56</xdr:col>
      <xdr:colOff>209550</xdr:colOff>
      <xdr:row>290</xdr:row>
      <xdr:rowOff>0</xdr:rowOff>
    </xdr:to>
    <xdr:graphicFrame macro="">
      <xdr:nvGraphicFramePr>
        <xdr:cNvPr id="482" name="Gráfico 481">
          <a:extLst>
            <a:ext uri="{FF2B5EF4-FFF2-40B4-BE49-F238E27FC236}">
              <a16:creationId xmlns:a16="http://schemas.microsoft.com/office/drawing/2014/main" id="{A6B779F6-2FE1-4B50-A272-1629531BA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6</xdr:col>
      <xdr:colOff>476250</xdr:colOff>
      <xdr:row>276</xdr:row>
      <xdr:rowOff>104775</xdr:rowOff>
    </xdr:from>
    <xdr:to>
      <xdr:col>10</xdr:col>
      <xdr:colOff>536575</xdr:colOff>
      <xdr:row>289</xdr:row>
      <xdr:rowOff>123825</xdr:rowOff>
    </xdr:to>
    <xdr:graphicFrame macro="">
      <xdr:nvGraphicFramePr>
        <xdr:cNvPr id="483" name="Gráfico 482">
          <a:extLst>
            <a:ext uri="{FF2B5EF4-FFF2-40B4-BE49-F238E27FC236}">
              <a16:creationId xmlns:a16="http://schemas.microsoft.com/office/drawing/2014/main" id="{D86177F7-8B38-4E74-8A43-0C1103C5A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15</xdr:col>
      <xdr:colOff>0</xdr:colOff>
      <xdr:row>276</xdr:row>
      <xdr:rowOff>161925</xdr:rowOff>
    </xdr:from>
    <xdr:to>
      <xdr:col>19</xdr:col>
      <xdr:colOff>266699</xdr:colOff>
      <xdr:row>289</xdr:row>
      <xdr:rowOff>171450</xdr:rowOff>
    </xdr:to>
    <xdr:graphicFrame macro="">
      <xdr:nvGraphicFramePr>
        <xdr:cNvPr id="484" name="Gráfico 483">
          <a:extLst>
            <a:ext uri="{FF2B5EF4-FFF2-40B4-BE49-F238E27FC236}">
              <a16:creationId xmlns:a16="http://schemas.microsoft.com/office/drawing/2014/main" id="{1FA4B503-F5FC-448F-9A97-AD3E90555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19</xdr:col>
      <xdr:colOff>304800</xdr:colOff>
      <xdr:row>276</xdr:row>
      <xdr:rowOff>161925</xdr:rowOff>
    </xdr:from>
    <xdr:to>
      <xdr:col>23</xdr:col>
      <xdr:colOff>708025</xdr:colOff>
      <xdr:row>290</xdr:row>
      <xdr:rowOff>0</xdr:rowOff>
    </xdr:to>
    <xdr:graphicFrame macro="">
      <xdr:nvGraphicFramePr>
        <xdr:cNvPr id="485" name="Gráfico 484">
          <a:extLst>
            <a:ext uri="{FF2B5EF4-FFF2-40B4-BE49-F238E27FC236}">
              <a16:creationId xmlns:a16="http://schemas.microsoft.com/office/drawing/2014/main" id="{E87AADDA-F642-45F4-BB97-E1C648A8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23</xdr:col>
      <xdr:colOff>742950</xdr:colOff>
      <xdr:row>276</xdr:row>
      <xdr:rowOff>123825</xdr:rowOff>
    </xdr:from>
    <xdr:to>
      <xdr:col>28</xdr:col>
      <xdr:colOff>384175</xdr:colOff>
      <xdr:row>289</xdr:row>
      <xdr:rowOff>171450</xdr:rowOff>
    </xdr:to>
    <xdr:graphicFrame macro="">
      <xdr:nvGraphicFramePr>
        <xdr:cNvPr id="486" name="Gráfico 485">
          <a:extLst>
            <a:ext uri="{FF2B5EF4-FFF2-40B4-BE49-F238E27FC236}">
              <a16:creationId xmlns:a16="http://schemas.microsoft.com/office/drawing/2014/main" id="{F1A62D17-4CE2-41FD-9580-B5C70C83A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43</xdr:col>
      <xdr:colOff>0</xdr:colOff>
      <xdr:row>276</xdr:row>
      <xdr:rowOff>47625</xdr:rowOff>
    </xdr:from>
    <xdr:to>
      <xdr:col>47</xdr:col>
      <xdr:colOff>438150</xdr:colOff>
      <xdr:row>290</xdr:row>
      <xdr:rowOff>57149</xdr:rowOff>
    </xdr:to>
    <xdr:graphicFrame macro="">
      <xdr:nvGraphicFramePr>
        <xdr:cNvPr id="487" name="Gráfico 486">
          <a:extLst>
            <a:ext uri="{FF2B5EF4-FFF2-40B4-BE49-F238E27FC236}">
              <a16:creationId xmlns:a16="http://schemas.microsoft.com/office/drawing/2014/main" id="{1E7E05DF-0506-49EF-8D0B-FB63ED0DC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10</xdr:col>
      <xdr:colOff>666750</xdr:colOff>
      <xdr:row>295</xdr:row>
      <xdr:rowOff>142875</xdr:rowOff>
    </xdr:from>
    <xdr:to>
      <xdr:col>15</xdr:col>
      <xdr:colOff>41275</xdr:colOff>
      <xdr:row>308</xdr:row>
      <xdr:rowOff>171450</xdr:rowOff>
    </xdr:to>
    <xdr:graphicFrame macro="">
      <xdr:nvGraphicFramePr>
        <xdr:cNvPr id="488" name="Gráfico 487">
          <a:extLst>
            <a:ext uri="{FF2B5EF4-FFF2-40B4-BE49-F238E27FC236}">
              <a16:creationId xmlns:a16="http://schemas.microsoft.com/office/drawing/2014/main" id="{0ECCD5E3-22D9-4DDB-9043-FE895B8E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28</xdr:col>
      <xdr:colOff>590550</xdr:colOff>
      <xdr:row>295</xdr:row>
      <xdr:rowOff>114299</xdr:rowOff>
    </xdr:from>
    <xdr:to>
      <xdr:col>33</xdr:col>
      <xdr:colOff>199231</xdr:colOff>
      <xdr:row>308</xdr:row>
      <xdr:rowOff>171450</xdr:rowOff>
    </xdr:to>
    <xdr:graphicFrame macro="">
      <xdr:nvGraphicFramePr>
        <xdr:cNvPr id="489" name="Gráfico 488">
          <a:extLst>
            <a:ext uri="{FF2B5EF4-FFF2-40B4-BE49-F238E27FC236}">
              <a16:creationId xmlns:a16="http://schemas.microsoft.com/office/drawing/2014/main" id="{9B15DC74-B718-44C8-9CE2-FD39ADAC7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33</xdr:col>
      <xdr:colOff>247650</xdr:colOff>
      <xdr:row>295</xdr:row>
      <xdr:rowOff>95250</xdr:rowOff>
    </xdr:from>
    <xdr:to>
      <xdr:col>38</xdr:col>
      <xdr:colOff>29370</xdr:colOff>
      <xdr:row>309</xdr:row>
      <xdr:rowOff>19050</xdr:rowOff>
    </xdr:to>
    <xdr:graphicFrame macro="">
      <xdr:nvGraphicFramePr>
        <xdr:cNvPr id="490" name="Gráfico 489">
          <a:extLst>
            <a:ext uri="{FF2B5EF4-FFF2-40B4-BE49-F238E27FC236}">
              <a16:creationId xmlns:a16="http://schemas.microsoft.com/office/drawing/2014/main" id="{395D6D46-7259-46F7-9A87-10EB67E85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38</xdr:col>
      <xdr:colOff>95250</xdr:colOff>
      <xdr:row>295</xdr:row>
      <xdr:rowOff>73025</xdr:rowOff>
    </xdr:from>
    <xdr:to>
      <xdr:col>42</xdr:col>
      <xdr:colOff>854076</xdr:colOff>
      <xdr:row>309</xdr:row>
      <xdr:rowOff>38099</xdr:rowOff>
    </xdr:to>
    <xdr:graphicFrame macro="">
      <xdr:nvGraphicFramePr>
        <xdr:cNvPr id="491" name="Gráfico 490">
          <a:extLst>
            <a:ext uri="{FF2B5EF4-FFF2-40B4-BE49-F238E27FC236}">
              <a16:creationId xmlns:a16="http://schemas.microsoft.com/office/drawing/2014/main" id="{3F9D5925-5B20-4252-AE04-013EE7247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47</xdr:col>
      <xdr:colOff>628649</xdr:colOff>
      <xdr:row>295</xdr:row>
      <xdr:rowOff>62707</xdr:rowOff>
    </xdr:from>
    <xdr:to>
      <xdr:col>52</xdr:col>
      <xdr:colOff>57150</xdr:colOff>
      <xdr:row>309</xdr:row>
      <xdr:rowOff>38099</xdr:rowOff>
    </xdr:to>
    <xdr:graphicFrame macro="">
      <xdr:nvGraphicFramePr>
        <xdr:cNvPr id="492" name="Gráfico 491">
          <a:extLst>
            <a:ext uri="{FF2B5EF4-FFF2-40B4-BE49-F238E27FC236}">
              <a16:creationId xmlns:a16="http://schemas.microsoft.com/office/drawing/2014/main" id="{82D14F62-EA41-4625-B920-59CBF8443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52</xdr:col>
      <xdr:colOff>95250</xdr:colOff>
      <xdr:row>295</xdr:row>
      <xdr:rowOff>66674</xdr:rowOff>
    </xdr:from>
    <xdr:to>
      <xdr:col>56</xdr:col>
      <xdr:colOff>304800</xdr:colOff>
      <xdr:row>309</xdr:row>
      <xdr:rowOff>0</xdr:rowOff>
    </xdr:to>
    <xdr:graphicFrame macro="">
      <xdr:nvGraphicFramePr>
        <xdr:cNvPr id="493" name="Gráfico 492">
          <a:extLst>
            <a:ext uri="{FF2B5EF4-FFF2-40B4-BE49-F238E27FC236}">
              <a16:creationId xmlns:a16="http://schemas.microsoft.com/office/drawing/2014/main" id="{8DF78905-78E1-4E96-9212-20511D0A6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6</xdr:col>
      <xdr:colOff>571500</xdr:colOff>
      <xdr:row>295</xdr:row>
      <xdr:rowOff>104775</xdr:rowOff>
    </xdr:from>
    <xdr:to>
      <xdr:col>10</xdr:col>
      <xdr:colOff>631825</xdr:colOff>
      <xdr:row>308</xdr:row>
      <xdr:rowOff>123825</xdr:rowOff>
    </xdr:to>
    <xdr:graphicFrame macro="">
      <xdr:nvGraphicFramePr>
        <xdr:cNvPr id="494" name="Gráfico 493">
          <a:extLst>
            <a:ext uri="{FF2B5EF4-FFF2-40B4-BE49-F238E27FC236}">
              <a16:creationId xmlns:a16="http://schemas.microsoft.com/office/drawing/2014/main" id="{33B277F5-8845-4CF8-8C73-F74B499F6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15</xdr:col>
      <xdr:colOff>95250</xdr:colOff>
      <xdr:row>295</xdr:row>
      <xdr:rowOff>161925</xdr:rowOff>
    </xdr:from>
    <xdr:to>
      <xdr:col>19</xdr:col>
      <xdr:colOff>361949</xdr:colOff>
      <xdr:row>308</xdr:row>
      <xdr:rowOff>171450</xdr:rowOff>
    </xdr:to>
    <xdr:graphicFrame macro="">
      <xdr:nvGraphicFramePr>
        <xdr:cNvPr id="495" name="Gráfico 494">
          <a:extLst>
            <a:ext uri="{FF2B5EF4-FFF2-40B4-BE49-F238E27FC236}">
              <a16:creationId xmlns:a16="http://schemas.microsoft.com/office/drawing/2014/main" id="{B00F1070-3DE4-438A-9330-D9D1AA192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19</xdr:col>
      <xdr:colOff>400050</xdr:colOff>
      <xdr:row>295</xdr:row>
      <xdr:rowOff>161925</xdr:rowOff>
    </xdr:from>
    <xdr:to>
      <xdr:col>23</xdr:col>
      <xdr:colOff>803275</xdr:colOff>
      <xdr:row>309</xdr:row>
      <xdr:rowOff>0</xdr:rowOff>
    </xdr:to>
    <xdr:graphicFrame macro="">
      <xdr:nvGraphicFramePr>
        <xdr:cNvPr id="496" name="Gráfico 495">
          <a:extLst>
            <a:ext uri="{FF2B5EF4-FFF2-40B4-BE49-F238E27FC236}">
              <a16:creationId xmlns:a16="http://schemas.microsoft.com/office/drawing/2014/main" id="{C00A7736-4111-42F9-8D19-869F9005D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23</xdr:col>
      <xdr:colOff>838200</xdr:colOff>
      <xdr:row>295</xdr:row>
      <xdr:rowOff>123825</xdr:rowOff>
    </xdr:from>
    <xdr:to>
      <xdr:col>28</xdr:col>
      <xdr:colOff>479425</xdr:colOff>
      <xdr:row>308</xdr:row>
      <xdr:rowOff>171450</xdr:rowOff>
    </xdr:to>
    <xdr:graphicFrame macro="">
      <xdr:nvGraphicFramePr>
        <xdr:cNvPr id="497" name="Gráfico 496">
          <a:extLst>
            <a:ext uri="{FF2B5EF4-FFF2-40B4-BE49-F238E27FC236}">
              <a16:creationId xmlns:a16="http://schemas.microsoft.com/office/drawing/2014/main" id="{23872420-3064-4347-939C-2F4D746BA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43</xdr:col>
      <xdr:colOff>95250</xdr:colOff>
      <xdr:row>295</xdr:row>
      <xdr:rowOff>47625</xdr:rowOff>
    </xdr:from>
    <xdr:to>
      <xdr:col>47</xdr:col>
      <xdr:colOff>533400</xdr:colOff>
      <xdr:row>309</xdr:row>
      <xdr:rowOff>57149</xdr:rowOff>
    </xdr:to>
    <xdr:graphicFrame macro="">
      <xdr:nvGraphicFramePr>
        <xdr:cNvPr id="498" name="Gráfico 497">
          <a:extLst>
            <a:ext uri="{FF2B5EF4-FFF2-40B4-BE49-F238E27FC236}">
              <a16:creationId xmlns:a16="http://schemas.microsoft.com/office/drawing/2014/main" id="{02D9A9D3-B442-46BB-A1A9-423594E24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10</xdr:col>
      <xdr:colOff>714375</xdr:colOff>
      <xdr:row>315</xdr:row>
      <xdr:rowOff>95250</xdr:rowOff>
    </xdr:from>
    <xdr:to>
      <xdr:col>15</xdr:col>
      <xdr:colOff>88900</xdr:colOff>
      <xdr:row>328</xdr:row>
      <xdr:rowOff>123825</xdr:rowOff>
    </xdr:to>
    <xdr:graphicFrame macro="">
      <xdr:nvGraphicFramePr>
        <xdr:cNvPr id="499" name="Gráfico 498">
          <a:extLst>
            <a:ext uri="{FF2B5EF4-FFF2-40B4-BE49-F238E27FC236}">
              <a16:creationId xmlns:a16="http://schemas.microsoft.com/office/drawing/2014/main" id="{53B045B6-6508-4DC0-A1B3-69FDE1710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28</xdr:col>
      <xdr:colOff>638175</xdr:colOff>
      <xdr:row>315</xdr:row>
      <xdr:rowOff>66674</xdr:rowOff>
    </xdr:from>
    <xdr:to>
      <xdr:col>33</xdr:col>
      <xdr:colOff>246856</xdr:colOff>
      <xdr:row>328</xdr:row>
      <xdr:rowOff>123825</xdr:rowOff>
    </xdr:to>
    <xdr:graphicFrame macro="">
      <xdr:nvGraphicFramePr>
        <xdr:cNvPr id="500" name="Gráfico 499">
          <a:extLst>
            <a:ext uri="{FF2B5EF4-FFF2-40B4-BE49-F238E27FC236}">
              <a16:creationId xmlns:a16="http://schemas.microsoft.com/office/drawing/2014/main" id="{BBC91E9E-39C6-4143-B9B2-A529DF7CF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33</xdr:col>
      <xdr:colOff>295275</xdr:colOff>
      <xdr:row>315</xdr:row>
      <xdr:rowOff>47625</xdr:rowOff>
    </xdr:from>
    <xdr:to>
      <xdr:col>38</xdr:col>
      <xdr:colOff>76995</xdr:colOff>
      <xdr:row>328</xdr:row>
      <xdr:rowOff>161925</xdr:rowOff>
    </xdr:to>
    <xdr:graphicFrame macro="">
      <xdr:nvGraphicFramePr>
        <xdr:cNvPr id="501" name="Gráfico 500">
          <a:extLst>
            <a:ext uri="{FF2B5EF4-FFF2-40B4-BE49-F238E27FC236}">
              <a16:creationId xmlns:a16="http://schemas.microsoft.com/office/drawing/2014/main" id="{98C12FFA-69C2-4DC1-9814-DED2C6A43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38</xdr:col>
      <xdr:colOff>142875</xdr:colOff>
      <xdr:row>315</xdr:row>
      <xdr:rowOff>25400</xdr:rowOff>
    </xdr:from>
    <xdr:to>
      <xdr:col>43</xdr:col>
      <xdr:colOff>44451</xdr:colOff>
      <xdr:row>328</xdr:row>
      <xdr:rowOff>180974</xdr:rowOff>
    </xdr:to>
    <xdr:graphicFrame macro="">
      <xdr:nvGraphicFramePr>
        <xdr:cNvPr id="502" name="Gráfico 501">
          <a:extLst>
            <a:ext uri="{FF2B5EF4-FFF2-40B4-BE49-F238E27FC236}">
              <a16:creationId xmlns:a16="http://schemas.microsoft.com/office/drawing/2014/main" id="{FF701B83-AF2E-4B86-8560-584676DDAD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47</xdr:col>
      <xdr:colOff>676274</xdr:colOff>
      <xdr:row>315</xdr:row>
      <xdr:rowOff>15082</xdr:rowOff>
    </xdr:from>
    <xdr:to>
      <xdr:col>52</xdr:col>
      <xdr:colOff>104775</xdr:colOff>
      <xdr:row>328</xdr:row>
      <xdr:rowOff>180974</xdr:rowOff>
    </xdr:to>
    <xdr:graphicFrame macro="">
      <xdr:nvGraphicFramePr>
        <xdr:cNvPr id="503" name="Gráfico 502">
          <a:extLst>
            <a:ext uri="{FF2B5EF4-FFF2-40B4-BE49-F238E27FC236}">
              <a16:creationId xmlns:a16="http://schemas.microsoft.com/office/drawing/2014/main" id="{339AE121-684E-47CE-83F3-8ED8D7CED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52</xdr:col>
      <xdr:colOff>142875</xdr:colOff>
      <xdr:row>315</xdr:row>
      <xdr:rowOff>19049</xdr:rowOff>
    </xdr:from>
    <xdr:to>
      <xdr:col>56</xdr:col>
      <xdr:colOff>352425</xdr:colOff>
      <xdr:row>328</xdr:row>
      <xdr:rowOff>142875</xdr:rowOff>
    </xdr:to>
    <xdr:graphicFrame macro="">
      <xdr:nvGraphicFramePr>
        <xdr:cNvPr id="504" name="Gráfico 503">
          <a:extLst>
            <a:ext uri="{FF2B5EF4-FFF2-40B4-BE49-F238E27FC236}">
              <a16:creationId xmlns:a16="http://schemas.microsoft.com/office/drawing/2014/main" id="{33100653-DA5F-4A42-9E4E-C6906B2F4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6</xdr:col>
      <xdr:colOff>619125</xdr:colOff>
      <xdr:row>315</xdr:row>
      <xdr:rowOff>57150</xdr:rowOff>
    </xdr:from>
    <xdr:to>
      <xdr:col>10</xdr:col>
      <xdr:colOff>679450</xdr:colOff>
      <xdr:row>328</xdr:row>
      <xdr:rowOff>76200</xdr:rowOff>
    </xdr:to>
    <xdr:graphicFrame macro="">
      <xdr:nvGraphicFramePr>
        <xdr:cNvPr id="505" name="Gráfico 504">
          <a:extLst>
            <a:ext uri="{FF2B5EF4-FFF2-40B4-BE49-F238E27FC236}">
              <a16:creationId xmlns:a16="http://schemas.microsoft.com/office/drawing/2014/main" id="{4B508B50-5A04-4E99-A3C8-150622535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15</xdr:col>
      <xdr:colOff>142875</xdr:colOff>
      <xdr:row>315</xdr:row>
      <xdr:rowOff>114300</xdr:rowOff>
    </xdr:from>
    <xdr:to>
      <xdr:col>19</xdr:col>
      <xdr:colOff>409574</xdr:colOff>
      <xdr:row>328</xdr:row>
      <xdr:rowOff>123825</xdr:rowOff>
    </xdr:to>
    <xdr:graphicFrame macro="">
      <xdr:nvGraphicFramePr>
        <xdr:cNvPr id="506" name="Gráfico 505">
          <a:extLst>
            <a:ext uri="{FF2B5EF4-FFF2-40B4-BE49-F238E27FC236}">
              <a16:creationId xmlns:a16="http://schemas.microsoft.com/office/drawing/2014/main" id="{7697E8F5-82B6-4E18-9AC4-BC94CBBD6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19</xdr:col>
      <xdr:colOff>447675</xdr:colOff>
      <xdr:row>315</xdr:row>
      <xdr:rowOff>114300</xdr:rowOff>
    </xdr:from>
    <xdr:to>
      <xdr:col>23</xdr:col>
      <xdr:colOff>850900</xdr:colOff>
      <xdr:row>328</xdr:row>
      <xdr:rowOff>142875</xdr:rowOff>
    </xdr:to>
    <xdr:graphicFrame macro="">
      <xdr:nvGraphicFramePr>
        <xdr:cNvPr id="507" name="Gráfico 506">
          <a:extLst>
            <a:ext uri="{FF2B5EF4-FFF2-40B4-BE49-F238E27FC236}">
              <a16:creationId xmlns:a16="http://schemas.microsoft.com/office/drawing/2014/main" id="{FD807642-02FA-427F-80D7-D9B1D31E5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24</xdr:col>
      <xdr:colOff>28575</xdr:colOff>
      <xdr:row>315</xdr:row>
      <xdr:rowOff>76200</xdr:rowOff>
    </xdr:from>
    <xdr:to>
      <xdr:col>28</xdr:col>
      <xdr:colOff>527050</xdr:colOff>
      <xdr:row>328</xdr:row>
      <xdr:rowOff>123825</xdr:rowOff>
    </xdr:to>
    <xdr:graphicFrame macro="">
      <xdr:nvGraphicFramePr>
        <xdr:cNvPr id="508" name="Gráfico 507">
          <a:extLst>
            <a:ext uri="{FF2B5EF4-FFF2-40B4-BE49-F238E27FC236}">
              <a16:creationId xmlns:a16="http://schemas.microsoft.com/office/drawing/2014/main" id="{C596A8E9-19B4-4F7A-976A-91813C84B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43</xdr:col>
      <xdr:colOff>142875</xdr:colOff>
      <xdr:row>315</xdr:row>
      <xdr:rowOff>0</xdr:rowOff>
    </xdr:from>
    <xdr:to>
      <xdr:col>47</xdr:col>
      <xdr:colOff>581025</xdr:colOff>
      <xdr:row>329</xdr:row>
      <xdr:rowOff>9524</xdr:rowOff>
    </xdr:to>
    <xdr:graphicFrame macro="">
      <xdr:nvGraphicFramePr>
        <xdr:cNvPr id="509" name="Gráfico 508">
          <a:extLst>
            <a:ext uri="{FF2B5EF4-FFF2-40B4-BE49-F238E27FC236}">
              <a16:creationId xmlns:a16="http://schemas.microsoft.com/office/drawing/2014/main" id="{CAF2CB88-8219-4C80-A7A2-380A74811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10</xdr:col>
      <xdr:colOff>714375</xdr:colOff>
      <xdr:row>335</xdr:row>
      <xdr:rowOff>47625</xdr:rowOff>
    </xdr:from>
    <xdr:to>
      <xdr:col>15</xdr:col>
      <xdr:colOff>88900</xdr:colOff>
      <xdr:row>348</xdr:row>
      <xdr:rowOff>76200</xdr:rowOff>
    </xdr:to>
    <xdr:graphicFrame macro="">
      <xdr:nvGraphicFramePr>
        <xdr:cNvPr id="510" name="Gráfico 509">
          <a:extLst>
            <a:ext uri="{FF2B5EF4-FFF2-40B4-BE49-F238E27FC236}">
              <a16:creationId xmlns:a16="http://schemas.microsoft.com/office/drawing/2014/main" id="{ED478053-06A6-45A8-9B0E-A48AEED41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28</xdr:col>
      <xdr:colOff>638175</xdr:colOff>
      <xdr:row>335</xdr:row>
      <xdr:rowOff>19049</xdr:rowOff>
    </xdr:from>
    <xdr:to>
      <xdr:col>33</xdr:col>
      <xdr:colOff>246856</xdr:colOff>
      <xdr:row>348</xdr:row>
      <xdr:rowOff>76200</xdr:rowOff>
    </xdr:to>
    <xdr:graphicFrame macro="">
      <xdr:nvGraphicFramePr>
        <xdr:cNvPr id="511" name="Gráfico 510">
          <a:extLst>
            <a:ext uri="{FF2B5EF4-FFF2-40B4-BE49-F238E27FC236}">
              <a16:creationId xmlns:a16="http://schemas.microsoft.com/office/drawing/2014/main" id="{8AF0BEC0-2A05-4D56-931E-5AB845D9A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33</xdr:col>
      <xdr:colOff>295275</xdr:colOff>
      <xdr:row>335</xdr:row>
      <xdr:rowOff>0</xdr:rowOff>
    </xdr:from>
    <xdr:to>
      <xdr:col>38</xdr:col>
      <xdr:colOff>76995</xdr:colOff>
      <xdr:row>348</xdr:row>
      <xdr:rowOff>114300</xdr:rowOff>
    </xdr:to>
    <xdr:graphicFrame macro="">
      <xdr:nvGraphicFramePr>
        <xdr:cNvPr id="512" name="Gráfico 511">
          <a:extLst>
            <a:ext uri="{FF2B5EF4-FFF2-40B4-BE49-F238E27FC236}">
              <a16:creationId xmlns:a16="http://schemas.microsoft.com/office/drawing/2014/main" id="{9643F20A-DECC-48A5-BAD1-7CA486967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38</xdr:col>
      <xdr:colOff>142875</xdr:colOff>
      <xdr:row>334</xdr:row>
      <xdr:rowOff>168275</xdr:rowOff>
    </xdr:from>
    <xdr:to>
      <xdr:col>43</xdr:col>
      <xdr:colOff>44451</xdr:colOff>
      <xdr:row>348</xdr:row>
      <xdr:rowOff>133349</xdr:rowOff>
    </xdr:to>
    <xdr:graphicFrame macro="">
      <xdr:nvGraphicFramePr>
        <xdr:cNvPr id="513" name="Gráfico 512">
          <a:extLst>
            <a:ext uri="{FF2B5EF4-FFF2-40B4-BE49-F238E27FC236}">
              <a16:creationId xmlns:a16="http://schemas.microsoft.com/office/drawing/2014/main" id="{53D91701-EB18-43CC-A52F-E783091A1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47</xdr:col>
      <xdr:colOff>676274</xdr:colOff>
      <xdr:row>334</xdr:row>
      <xdr:rowOff>157957</xdr:rowOff>
    </xdr:from>
    <xdr:to>
      <xdr:col>52</xdr:col>
      <xdr:colOff>104775</xdr:colOff>
      <xdr:row>348</xdr:row>
      <xdr:rowOff>133349</xdr:rowOff>
    </xdr:to>
    <xdr:graphicFrame macro="">
      <xdr:nvGraphicFramePr>
        <xdr:cNvPr id="514" name="Gráfico 513">
          <a:extLst>
            <a:ext uri="{FF2B5EF4-FFF2-40B4-BE49-F238E27FC236}">
              <a16:creationId xmlns:a16="http://schemas.microsoft.com/office/drawing/2014/main" id="{C8741B4B-6623-4E94-809C-1E3A7D179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52</xdr:col>
      <xdr:colOff>142875</xdr:colOff>
      <xdr:row>334</xdr:row>
      <xdr:rowOff>161924</xdr:rowOff>
    </xdr:from>
    <xdr:to>
      <xdr:col>56</xdr:col>
      <xdr:colOff>352425</xdr:colOff>
      <xdr:row>348</xdr:row>
      <xdr:rowOff>95250</xdr:rowOff>
    </xdr:to>
    <xdr:graphicFrame macro="">
      <xdr:nvGraphicFramePr>
        <xdr:cNvPr id="515" name="Gráfico 514">
          <a:extLst>
            <a:ext uri="{FF2B5EF4-FFF2-40B4-BE49-F238E27FC236}">
              <a16:creationId xmlns:a16="http://schemas.microsoft.com/office/drawing/2014/main" id="{5A7A903D-AD9C-4E2D-BF60-624C76642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6</xdr:col>
      <xdr:colOff>619125</xdr:colOff>
      <xdr:row>335</xdr:row>
      <xdr:rowOff>9525</xdr:rowOff>
    </xdr:from>
    <xdr:to>
      <xdr:col>10</xdr:col>
      <xdr:colOff>679450</xdr:colOff>
      <xdr:row>348</xdr:row>
      <xdr:rowOff>28575</xdr:rowOff>
    </xdr:to>
    <xdr:graphicFrame macro="">
      <xdr:nvGraphicFramePr>
        <xdr:cNvPr id="516" name="Gráfico 515">
          <a:extLst>
            <a:ext uri="{FF2B5EF4-FFF2-40B4-BE49-F238E27FC236}">
              <a16:creationId xmlns:a16="http://schemas.microsoft.com/office/drawing/2014/main" id="{17FFDAF4-BC49-4A9F-A275-716C2ECED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15</xdr:col>
      <xdr:colOff>142875</xdr:colOff>
      <xdr:row>335</xdr:row>
      <xdr:rowOff>66675</xdr:rowOff>
    </xdr:from>
    <xdr:to>
      <xdr:col>19</xdr:col>
      <xdr:colOff>409574</xdr:colOff>
      <xdr:row>348</xdr:row>
      <xdr:rowOff>76200</xdr:rowOff>
    </xdr:to>
    <xdr:graphicFrame macro="">
      <xdr:nvGraphicFramePr>
        <xdr:cNvPr id="517" name="Gráfico 516">
          <a:extLst>
            <a:ext uri="{FF2B5EF4-FFF2-40B4-BE49-F238E27FC236}">
              <a16:creationId xmlns:a16="http://schemas.microsoft.com/office/drawing/2014/main" id="{98D1E99D-795C-4086-9B6C-D1F8A4233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19</xdr:col>
      <xdr:colOff>447675</xdr:colOff>
      <xdr:row>335</xdr:row>
      <xdr:rowOff>66675</xdr:rowOff>
    </xdr:from>
    <xdr:to>
      <xdr:col>23</xdr:col>
      <xdr:colOff>850900</xdr:colOff>
      <xdr:row>348</xdr:row>
      <xdr:rowOff>95250</xdr:rowOff>
    </xdr:to>
    <xdr:graphicFrame macro="">
      <xdr:nvGraphicFramePr>
        <xdr:cNvPr id="518" name="Gráfico 517">
          <a:extLst>
            <a:ext uri="{FF2B5EF4-FFF2-40B4-BE49-F238E27FC236}">
              <a16:creationId xmlns:a16="http://schemas.microsoft.com/office/drawing/2014/main" id="{8800A5A9-1805-4A9C-B240-6C5F6D90A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24</xdr:col>
      <xdr:colOff>28575</xdr:colOff>
      <xdr:row>335</xdr:row>
      <xdr:rowOff>28575</xdr:rowOff>
    </xdr:from>
    <xdr:to>
      <xdr:col>28</xdr:col>
      <xdr:colOff>527050</xdr:colOff>
      <xdr:row>348</xdr:row>
      <xdr:rowOff>76200</xdr:rowOff>
    </xdr:to>
    <xdr:graphicFrame macro="">
      <xdr:nvGraphicFramePr>
        <xdr:cNvPr id="519" name="Gráfico 518">
          <a:extLst>
            <a:ext uri="{FF2B5EF4-FFF2-40B4-BE49-F238E27FC236}">
              <a16:creationId xmlns:a16="http://schemas.microsoft.com/office/drawing/2014/main" id="{4D2B7CE6-61B0-4DCE-912C-EC78162E6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43</xdr:col>
      <xdr:colOff>142875</xdr:colOff>
      <xdr:row>334</xdr:row>
      <xdr:rowOff>142875</xdr:rowOff>
    </xdr:from>
    <xdr:to>
      <xdr:col>47</xdr:col>
      <xdr:colOff>581025</xdr:colOff>
      <xdr:row>348</xdr:row>
      <xdr:rowOff>152399</xdr:rowOff>
    </xdr:to>
    <xdr:graphicFrame macro="">
      <xdr:nvGraphicFramePr>
        <xdr:cNvPr id="520" name="Gráfico 519">
          <a:extLst>
            <a:ext uri="{FF2B5EF4-FFF2-40B4-BE49-F238E27FC236}">
              <a16:creationId xmlns:a16="http://schemas.microsoft.com/office/drawing/2014/main" id="{84677F48-2807-4350-A1B2-11FF7C955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10</xdr:col>
      <xdr:colOff>714375</xdr:colOff>
      <xdr:row>354</xdr:row>
      <xdr:rowOff>47625</xdr:rowOff>
    </xdr:from>
    <xdr:to>
      <xdr:col>15</xdr:col>
      <xdr:colOff>88900</xdr:colOff>
      <xdr:row>367</xdr:row>
      <xdr:rowOff>76200</xdr:rowOff>
    </xdr:to>
    <xdr:graphicFrame macro="">
      <xdr:nvGraphicFramePr>
        <xdr:cNvPr id="521" name="Gráfico 520">
          <a:extLst>
            <a:ext uri="{FF2B5EF4-FFF2-40B4-BE49-F238E27FC236}">
              <a16:creationId xmlns:a16="http://schemas.microsoft.com/office/drawing/2014/main" id="{6D31AF81-05BF-4AFC-9768-E5DC87624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28</xdr:col>
      <xdr:colOff>638175</xdr:colOff>
      <xdr:row>354</xdr:row>
      <xdr:rowOff>19049</xdr:rowOff>
    </xdr:from>
    <xdr:to>
      <xdr:col>33</xdr:col>
      <xdr:colOff>246856</xdr:colOff>
      <xdr:row>367</xdr:row>
      <xdr:rowOff>76200</xdr:rowOff>
    </xdr:to>
    <xdr:graphicFrame macro="">
      <xdr:nvGraphicFramePr>
        <xdr:cNvPr id="522" name="Gráfico 521">
          <a:extLst>
            <a:ext uri="{FF2B5EF4-FFF2-40B4-BE49-F238E27FC236}">
              <a16:creationId xmlns:a16="http://schemas.microsoft.com/office/drawing/2014/main" id="{9642EE4D-C4EA-4EA7-8241-6D1FCF23B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33</xdr:col>
      <xdr:colOff>295275</xdr:colOff>
      <xdr:row>354</xdr:row>
      <xdr:rowOff>0</xdr:rowOff>
    </xdr:from>
    <xdr:to>
      <xdr:col>38</xdr:col>
      <xdr:colOff>76995</xdr:colOff>
      <xdr:row>367</xdr:row>
      <xdr:rowOff>114300</xdr:rowOff>
    </xdr:to>
    <xdr:graphicFrame macro="">
      <xdr:nvGraphicFramePr>
        <xdr:cNvPr id="523" name="Gráfico 522">
          <a:extLst>
            <a:ext uri="{FF2B5EF4-FFF2-40B4-BE49-F238E27FC236}">
              <a16:creationId xmlns:a16="http://schemas.microsoft.com/office/drawing/2014/main" id="{817F757C-9E50-411C-BD4E-85201FECC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38</xdr:col>
      <xdr:colOff>142875</xdr:colOff>
      <xdr:row>353</xdr:row>
      <xdr:rowOff>168275</xdr:rowOff>
    </xdr:from>
    <xdr:to>
      <xdr:col>43</xdr:col>
      <xdr:colOff>44451</xdr:colOff>
      <xdr:row>367</xdr:row>
      <xdr:rowOff>133349</xdr:rowOff>
    </xdr:to>
    <xdr:graphicFrame macro="">
      <xdr:nvGraphicFramePr>
        <xdr:cNvPr id="524" name="Gráfico 523">
          <a:extLst>
            <a:ext uri="{FF2B5EF4-FFF2-40B4-BE49-F238E27FC236}">
              <a16:creationId xmlns:a16="http://schemas.microsoft.com/office/drawing/2014/main" id="{7F422FA7-B19A-4BB8-A134-EE5926D9D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47</xdr:col>
      <xdr:colOff>676274</xdr:colOff>
      <xdr:row>353</xdr:row>
      <xdr:rowOff>157957</xdr:rowOff>
    </xdr:from>
    <xdr:to>
      <xdr:col>52</xdr:col>
      <xdr:colOff>104775</xdr:colOff>
      <xdr:row>367</xdr:row>
      <xdr:rowOff>133349</xdr:rowOff>
    </xdr:to>
    <xdr:graphicFrame macro="">
      <xdr:nvGraphicFramePr>
        <xdr:cNvPr id="525" name="Gráfico 524">
          <a:extLst>
            <a:ext uri="{FF2B5EF4-FFF2-40B4-BE49-F238E27FC236}">
              <a16:creationId xmlns:a16="http://schemas.microsoft.com/office/drawing/2014/main" id="{F64632F3-6EE1-4F7C-9003-A7D071E09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52</xdr:col>
      <xdr:colOff>142875</xdr:colOff>
      <xdr:row>353</xdr:row>
      <xdr:rowOff>161924</xdr:rowOff>
    </xdr:from>
    <xdr:to>
      <xdr:col>56</xdr:col>
      <xdr:colOff>352425</xdr:colOff>
      <xdr:row>367</xdr:row>
      <xdr:rowOff>95250</xdr:rowOff>
    </xdr:to>
    <xdr:graphicFrame macro="">
      <xdr:nvGraphicFramePr>
        <xdr:cNvPr id="526" name="Gráfico 525">
          <a:extLst>
            <a:ext uri="{FF2B5EF4-FFF2-40B4-BE49-F238E27FC236}">
              <a16:creationId xmlns:a16="http://schemas.microsoft.com/office/drawing/2014/main" id="{55649F59-7BE2-4BED-95DC-B45C651C6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6</xdr:col>
      <xdr:colOff>619125</xdr:colOff>
      <xdr:row>354</xdr:row>
      <xdr:rowOff>9525</xdr:rowOff>
    </xdr:from>
    <xdr:to>
      <xdr:col>10</xdr:col>
      <xdr:colOff>679450</xdr:colOff>
      <xdr:row>367</xdr:row>
      <xdr:rowOff>28575</xdr:rowOff>
    </xdr:to>
    <xdr:graphicFrame macro="">
      <xdr:nvGraphicFramePr>
        <xdr:cNvPr id="527" name="Gráfico 526">
          <a:extLst>
            <a:ext uri="{FF2B5EF4-FFF2-40B4-BE49-F238E27FC236}">
              <a16:creationId xmlns:a16="http://schemas.microsoft.com/office/drawing/2014/main" id="{9DDC661C-D484-43EA-AC98-98B2F7702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15</xdr:col>
      <xdr:colOff>142875</xdr:colOff>
      <xdr:row>354</xdr:row>
      <xdr:rowOff>66675</xdr:rowOff>
    </xdr:from>
    <xdr:to>
      <xdr:col>19</xdr:col>
      <xdr:colOff>409574</xdr:colOff>
      <xdr:row>367</xdr:row>
      <xdr:rowOff>76200</xdr:rowOff>
    </xdr:to>
    <xdr:graphicFrame macro="">
      <xdr:nvGraphicFramePr>
        <xdr:cNvPr id="528" name="Gráfico 527">
          <a:extLst>
            <a:ext uri="{FF2B5EF4-FFF2-40B4-BE49-F238E27FC236}">
              <a16:creationId xmlns:a16="http://schemas.microsoft.com/office/drawing/2014/main" id="{00E39083-3C02-43D6-9693-E5190C2F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19</xdr:col>
      <xdr:colOff>447675</xdr:colOff>
      <xdr:row>354</xdr:row>
      <xdr:rowOff>66675</xdr:rowOff>
    </xdr:from>
    <xdr:to>
      <xdr:col>23</xdr:col>
      <xdr:colOff>850900</xdr:colOff>
      <xdr:row>367</xdr:row>
      <xdr:rowOff>95250</xdr:rowOff>
    </xdr:to>
    <xdr:graphicFrame macro="">
      <xdr:nvGraphicFramePr>
        <xdr:cNvPr id="529" name="Gráfico 528">
          <a:extLst>
            <a:ext uri="{FF2B5EF4-FFF2-40B4-BE49-F238E27FC236}">
              <a16:creationId xmlns:a16="http://schemas.microsoft.com/office/drawing/2014/main" id="{8D12D214-042D-4440-9D7D-848DF24FA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24</xdr:col>
      <xdr:colOff>28575</xdr:colOff>
      <xdr:row>354</xdr:row>
      <xdr:rowOff>28575</xdr:rowOff>
    </xdr:from>
    <xdr:to>
      <xdr:col>28</xdr:col>
      <xdr:colOff>527050</xdr:colOff>
      <xdr:row>367</xdr:row>
      <xdr:rowOff>76200</xdr:rowOff>
    </xdr:to>
    <xdr:graphicFrame macro="">
      <xdr:nvGraphicFramePr>
        <xdr:cNvPr id="530" name="Gráfico 529">
          <a:extLst>
            <a:ext uri="{FF2B5EF4-FFF2-40B4-BE49-F238E27FC236}">
              <a16:creationId xmlns:a16="http://schemas.microsoft.com/office/drawing/2014/main" id="{1A35F7DC-B6B9-4447-8A37-E3C457183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43</xdr:col>
      <xdr:colOff>142875</xdr:colOff>
      <xdr:row>353</xdr:row>
      <xdr:rowOff>142875</xdr:rowOff>
    </xdr:from>
    <xdr:to>
      <xdr:col>47</xdr:col>
      <xdr:colOff>581025</xdr:colOff>
      <xdr:row>367</xdr:row>
      <xdr:rowOff>152399</xdr:rowOff>
    </xdr:to>
    <xdr:graphicFrame macro="">
      <xdr:nvGraphicFramePr>
        <xdr:cNvPr id="531" name="Gráfico 530">
          <a:extLst>
            <a:ext uri="{FF2B5EF4-FFF2-40B4-BE49-F238E27FC236}">
              <a16:creationId xmlns:a16="http://schemas.microsoft.com/office/drawing/2014/main" id="{7408D2B1-1424-417C-AFD1-B8ACF5165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10</xdr:col>
      <xdr:colOff>714375</xdr:colOff>
      <xdr:row>372</xdr:row>
      <xdr:rowOff>47625</xdr:rowOff>
    </xdr:from>
    <xdr:to>
      <xdr:col>15</xdr:col>
      <xdr:colOff>88900</xdr:colOff>
      <xdr:row>385</xdr:row>
      <xdr:rowOff>76200</xdr:rowOff>
    </xdr:to>
    <xdr:graphicFrame macro="">
      <xdr:nvGraphicFramePr>
        <xdr:cNvPr id="532" name="Gráfico 531">
          <a:extLst>
            <a:ext uri="{FF2B5EF4-FFF2-40B4-BE49-F238E27FC236}">
              <a16:creationId xmlns:a16="http://schemas.microsoft.com/office/drawing/2014/main" id="{E3A61EA4-CCF5-412F-B10A-78B10F28E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28</xdr:col>
      <xdr:colOff>638175</xdr:colOff>
      <xdr:row>372</xdr:row>
      <xdr:rowOff>19049</xdr:rowOff>
    </xdr:from>
    <xdr:to>
      <xdr:col>33</xdr:col>
      <xdr:colOff>246856</xdr:colOff>
      <xdr:row>385</xdr:row>
      <xdr:rowOff>76200</xdr:rowOff>
    </xdr:to>
    <xdr:graphicFrame macro="">
      <xdr:nvGraphicFramePr>
        <xdr:cNvPr id="533" name="Gráfico 532">
          <a:extLst>
            <a:ext uri="{FF2B5EF4-FFF2-40B4-BE49-F238E27FC236}">
              <a16:creationId xmlns:a16="http://schemas.microsoft.com/office/drawing/2014/main" id="{CE6004CD-65C1-4AEA-8B6F-060FAB1FF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33</xdr:col>
      <xdr:colOff>295275</xdr:colOff>
      <xdr:row>372</xdr:row>
      <xdr:rowOff>0</xdr:rowOff>
    </xdr:from>
    <xdr:to>
      <xdr:col>38</xdr:col>
      <xdr:colOff>76995</xdr:colOff>
      <xdr:row>385</xdr:row>
      <xdr:rowOff>114300</xdr:rowOff>
    </xdr:to>
    <xdr:graphicFrame macro="">
      <xdr:nvGraphicFramePr>
        <xdr:cNvPr id="534" name="Gráfico 533">
          <a:extLst>
            <a:ext uri="{FF2B5EF4-FFF2-40B4-BE49-F238E27FC236}">
              <a16:creationId xmlns:a16="http://schemas.microsoft.com/office/drawing/2014/main" id="{D2B4B18D-1DA9-420F-A007-838049AF6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38</xdr:col>
      <xdr:colOff>142875</xdr:colOff>
      <xdr:row>371</xdr:row>
      <xdr:rowOff>168275</xdr:rowOff>
    </xdr:from>
    <xdr:to>
      <xdr:col>43</xdr:col>
      <xdr:colOff>44451</xdr:colOff>
      <xdr:row>385</xdr:row>
      <xdr:rowOff>133349</xdr:rowOff>
    </xdr:to>
    <xdr:graphicFrame macro="">
      <xdr:nvGraphicFramePr>
        <xdr:cNvPr id="535" name="Gráfico 534">
          <a:extLst>
            <a:ext uri="{FF2B5EF4-FFF2-40B4-BE49-F238E27FC236}">
              <a16:creationId xmlns:a16="http://schemas.microsoft.com/office/drawing/2014/main" id="{03BA3924-4030-4507-8510-D24EF7E62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47</xdr:col>
      <xdr:colOff>676274</xdr:colOff>
      <xdr:row>371</xdr:row>
      <xdr:rowOff>157957</xdr:rowOff>
    </xdr:from>
    <xdr:to>
      <xdr:col>52</xdr:col>
      <xdr:colOff>104775</xdr:colOff>
      <xdr:row>385</xdr:row>
      <xdr:rowOff>133349</xdr:rowOff>
    </xdr:to>
    <xdr:graphicFrame macro="">
      <xdr:nvGraphicFramePr>
        <xdr:cNvPr id="536" name="Gráfico 535">
          <a:extLst>
            <a:ext uri="{FF2B5EF4-FFF2-40B4-BE49-F238E27FC236}">
              <a16:creationId xmlns:a16="http://schemas.microsoft.com/office/drawing/2014/main" id="{D2A28064-4714-4E9A-902C-CA7904E7B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52</xdr:col>
      <xdr:colOff>142875</xdr:colOff>
      <xdr:row>371</xdr:row>
      <xdr:rowOff>161924</xdr:rowOff>
    </xdr:from>
    <xdr:to>
      <xdr:col>56</xdr:col>
      <xdr:colOff>352425</xdr:colOff>
      <xdr:row>385</xdr:row>
      <xdr:rowOff>95250</xdr:rowOff>
    </xdr:to>
    <xdr:graphicFrame macro="">
      <xdr:nvGraphicFramePr>
        <xdr:cNvPr id="537" name="Gráfico 536">
          <a:extLst>
            <a:ext uri="{FF2B5EF4-FFF2-40B4-BE49-F238E27FC236}">
              <a16:creationId xmlns:a16="http://schemas.microsoft.com/office/drawing/2014/main" id="{7240BE52-B02F-4F8D-9FAE-6F3A737A6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6</xdr:col>
      <xdr:colOff>619125</xdr:colOff>
      <xdr:row>372</xdr:row>
      <xdr:rowOff>9525</xdr:rowOff>
    </xdr:from>
    <xdr:to>
      <xdr:col>10</xdr:col>
      <xdr:colOff>679450</xdr:colOff>
      <xdr:row>385</xdr:row>
      <xdr:rowOff>28575</xdr:rowOff>
    </xdr:to>
    <xdr:graphicFrame macro="">
      <xdr:nvGraphicFramePr>
        <xdr:cNvPr id="538" name="Gráfico 537">
          <a:extLst>
            <a:ext uri="{FF2B5EF4-FFF2-40B4-BE49-F238E27FC236}">
              <a16:creationId xmlns:a16="http://schemas.microsoft.com/office/drawing/2014/main" id="{3A8115BA-EB8D-4032-94A0-0DCB8AF7E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15</xdr:col>
      <xdr:colOff>142875</xdr:colOff>
      <xdr:row>372</xdr:row>
      <xdr:rowOff>66675</xdr:rowOff>
    </xdr:from>
    <xdr:to>
      <xdr:col>19</xdr:col>
      <xdr:colOff>409574</xdr:colOff>
      <xdr:row>385</xdr:row>
      <xdr:rowOff>76200</xdr:rowOff>
    </xdr:to>
    <xdr:graphicFrame macro="">
      <xdr:nvGraphicFramePr>
        <xdr:cNvPr id="539" name="Gráfico 538">
          <a:extLst>
            <a:ext uri="{FF2B5EF4-FFF2-40B4-BE49-F238E27FC236}">
              <a16:creationId xmlns:a16="http://schemas.microsoft.com/office/drawing/2014/main" id="{DB1BFDD4-94F0-4A7A-8B4B-A5C0A78B3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19</xdr:col>
      <xdr:colOff>447675</xdr:colOff>
      <xdr:row>372</xdr:row>
      <xdr:rowOff>66675</xdr:rowOff>
    </xdr:from>
    <xdr:to>
      <xdr:col>23</xdr:col>
      <xdr:colOff>850900</xdr:colOff>
      <xdr:row>385</xdr:row>
      <xdr:rowOff>95250</xdr:rowOff>
    </xdr:to>
    <xdr:graphicFrame macro="">
      <xdr:nvGraphicFramePr>
        <xdr:cNvPr id="540" name="Gráfico 539">
          <a:extLst>
            <a:ext uri="{FF2B5EF4-FFF2-40B4-BE49-F238E27FC236}">
              <a16:creationId xmlns:a16="http://schemas.microsoft.com/office/drawing/2014/main" id="{B22AC766-E654-495C-B225-B4912311E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24</xdr:col>
      <xdr:colOff>28575</xdr:colOff>
      <xdr:row>372</xdr:row>
      <xdr:rowOff>28575</xdr:rowOff>
    </xdr:from>
    <xdr:to>
      <xdr:col>28</xdr:col>
      <xdr:colOff>527050</xdr:colOff>
      <xdr:row>385</xdr:row>
      <xdr:rowOff>76200</xdr:rowOff>
    </xdr:to>
    <xdr:graphicFrame macro="">
      <xdr:nvGraphicFramePr>
        <xdr:cNvPr id="541" name="Gráfico 540">
          <a:extLst>
            <a:ext uri="{FF2B5EF4-FFF2-40B4-BE49-F238E27FC236}">
              <a16:creationId xmlns:a16="http://schemas.microsoft.com/office/drawing/2014/main" id="{84430582-D8A2-40FA-9C3A-820DF13ED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43</xdr:col>
      <xdr:colOff>142875</xdr:colOff>
      <xdr:row>371</xdr:row>
      <xdr:rowOff>142875</xdr:rowOff>
    </xdr:from>
    <xdr:to>
      <xdr:col>47</xdr:col>
      <xdr:colOff>581025</xdr:colOff>
      <xdr:row>385</xdr:row>
      <xdr:rowOff>152399</xdr:rowOff>
    </xdr:to>
    <xdr:graphicFrame macro="">
      <xdr:nvGraphicFramePr>
        <xdr:cNvPr id="542" name="Gráfico 541">
          <a:extLst>
            <a:ext uri="{FF2B5EF4-FFF2-40B4-BE49-F238E27FC236}">
              <a16:creationId xmlns:a16="http://schemas.microsoft.com/office/drawing/2014/main" id="{DBA20AEC-C27D-44F6-8342-D911CB394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10</xdr:col>
      <xdr:colOff>809625</xdr:colOff>
      <xdr:row>391</xdr:row>
      <xdr:rowOff>95250</xdr:rowOff>
    </xdr:from>
    <xdr:to>
      <xdr:col>15</xdr:col>
      <xdr:colOff>184150</xdr:colOff>
      <xdr:row>404</xdr:row>
      <xdr:rowOff>123825</xdr:rowOff>
    </xdr:to>
    <xdr:graphicFrame macro="">
      <xdr:nvGraphicFramePr>
        <xdr:cNvPr id="543" name="Gráfico 542">
          <a:extLst>
            <a:ext uri="{FF2B5EF4-FFF2-40B4-BE49-F238E27FC236}">
              <a16:creationId xmlns:a16="http://schemas.microsoft.com/office/drawing/2014/main" id="{FB3ECF3A-4DBC-4A77-93BA-DC760B4D0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28</xdr:col>
      <xdr:colOff>733425</xdr:colOff>
      <xdr:row>391</xdr:row>
      <xdr:rowOff>66674</xdr:rowOff>
    </xdr:from>
    <xdr:to>
      <xdr:col>33</xdr:col>
      <xdr:colOff>342106</xdr:colOff>
      <xdr:row>404</xdr:row>
      <xdr:rowOff>123825</xdr:rowOff>
    </xdr:to>
    <xdr:graphicFrame macro="">
      <xdr:nvGraphicFramePr>
        <xdr:cNvPr id="544" name="Gráfico 543">
          <a:extLst>
            <a:ext uri="{FF2B5EF4-FFF2-40B4-BE49-F238E27FC236}">
              <a16:creationId xmlns:a16="http://schemas.microsoft.com/office/drawing/2014/main" id="{C39CB117-56E4-480A-9E1E-4DBFB2942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33</xdr:col>
      <xdr:colOff>390525</xdr:colOff>
      <xdr:row>391</xdr:row>
      <xdr:rowOff>47625</xdr:rowOff>
    </xdr:from>
    <xdr:to>
      <xdr:col>38</xdr:col>
      <xdr:colOff>172245</xdr:colOff>
      <xdr:row>404</xdr:row>
      <xdr:rowOff>161925</xdr:rowOff>
    </xdr:to>
    <xdr:graphicFrame macro="">
      <xdr:nvGraphicFramePr>
        <xdr:cNvPr id="545" name="Gráfico 544">
          <a:extLst>
            <a:ext uri="{FF2B5EF4-FFF2-40B4-BE49-F238E27FC236}">
              <a16:creationId xmlns:a16="http://schemas.microsoft.com/office/drawing/2014/main" id="{F4B693E6-5848-493A-8DC0-9A34B9B19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38</xdr:col>
      <xdr:colOff>238125</xdr:colOff>
      <xdr:row>391</xdr:row>
      <xdr:rowOff>25400</xdr:rowOff>
    </xdr:from>
    <xdr:to>
      <xdr:col>43</xdr:col>
      <xdr:colOff>139701</xdr:colOff>
      <xdr:row>404</xdr:row>
      <xdr:rowOff>180974</xdr:rowOff>
    </xdr:to>
    <xdr:graphicFrame macro="">
      <xdr:nvGraphicFramePr>
        <xdr:cNvPr id="546" name="Gráfico 545">
          <a:extLst>
            <a:ext uri="{FF2B5EF4-FFF2-40B4-BE49-F238E27FC236}">
              <a16:creationId xmlns:a16="http://schemas.microsoft.com/office/drawing/2014/main" id="{F8C9D537-A358-4A89-95FE-90FD5AEFC1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47</xdr:col>
      <xdr:colOff>771524</xdr:colOff>
      <xdr:row>391</xdr:row>
      <xdr:rowOff>15082</xdr:rowOff>
    </xdr:from>
    <xdr:to>
      <xdr:col>52</xdr:col>
      <xdr:colOff>200025</xdr:colOff>
      <xdr:row>404</xdr:row>
      <xdr:rowOff>180974</xdr:rowOff>
    </xdr:to>
    <xdr:graphicFrame macro="">
      <xdr:nvGraphicFramePr>
        <xdr:cNvPr id="547" name="Gráfico 546">
          <a:extLst>
            <a:ext uri="{FF2B5EF4-FFF2-40B4-BE49-F238E27FC236}">
              <a16:creationId xmlns:a16="http://schemas.microsoft.com/office/drawing/2014/main" id="{B2179BDF-7CF5-4447-B25D-B8B2DDCA2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52</xdr:col>
      <xdr:colOff>238125</xdr:colOff>
      <xdr:row>391</xdr:row>
      <xdr:rowOff>19049</xdr:rowOff>
    </xdr:from>
    <xdr:to>
      <xdr:col>56</xdr:col>
      <xdr:colOff>447675</xdr:colOff>
      <xdr:row>404</xdr:row>
      <xdr:rowOff>142875</xdr:rowOff>
    </xdr:to>
    <xdr:graphicFrame macro="">
      <xdr:nvGraphicFramePr>
        <xdr:cNvPr id="548" name="Gráfico 547">
          <a:extLst>
            <a:ext uri="{FF2B5EF4-FFF2-40B4-BE49-F238E27FC236}">
              <a16:creationId xmlns:a16="http://schemas.microsoft.com/office/drawing/2014/main" id="{0DAF696D-A9A7-4681-9B7A-B8D39AFF5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6</xdr:col>
      <xdr:colOff>714375</xdr:colOff>
      <xdr:row>391</xdr:row>
      <xdr:rowOff>57150</xdr:rowOff>
    </xdr:from>
    <xdr:to>
      <xdr:col>10</xdr:col>
      <xdr:colOff>774700</xdr:colOff>
      <xdr:row>404</xdr:row>
      <xdr:rowOff>76200</xdr:rowOff>
    </xdr:to>
    <xdr:graphicFrame macro="">
      <xdr:nvGraphicFramePr>
        <xdr:cNvPr id="549" name="Gráfico 548">
          <a:extLst>
            <a:ext uri="{FF2B5EF4-FFF2-40B4-BE49-F238E27FC236}">
              <a16:creationId xmlns:a16="http://schemas.microsoft.com/office/drawing/2014/main" id="{EB1B37A4-0A2B-447F-A200-2F944D69B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15</xdr:col>
      <xdr:colOff>238125</xdr:colOff>
      <xdr:row>391</xdr:row>
      <xdr:rowOff>114300</xdr:rowOff>
    </xdr:from>
    <xdr:to>
      <xdr:col>19</xdr:col>
      <xdr:colOff>504824</xdr:colOff>
      <xdr:row>404</xdr:row>
      <xdr:rowOff>123825</xdr:rowOff>
    </xdr:to>
    <xdr:graphicFrame macro="">
      <xdr:nvGraphicFramePr>
        <xdr:cNvPr id="550" name="Gráfico 549">
          <a:extLst>
            <a:ext uri="{FF2B5EF4-FFF2-40B4-BE49-F238E27FC236}">
              <a16:creationId xmlns:a16="http://schemas.microsoft.com/office/drawing/2014/main" id="{D7C47649-6602-4BAE-B60F-E0A074BAA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19</xdr:col>
      <xdr:colOff>542925</xdr:colOff>
      <xdr:row>391</xdr:row>
      <xdr:rowOff>114300</xdr:rowOff>
    </xdr:from>
    <xdr:to>
      <xdr:col>24</xdr:col>
      <xdr:colOff>88900</xdr:colOff>
      <xdr:row>404</xdr:row>
      <xdr:rowOff>142875</xdr:rowOff>
    </xdr:to>
    <xdr:graphicFrame macro="">
      <xdr:nvGraphicFramePr>
        <xdr:cNvPr id="551" name="Gráfico 550">
          <a:extLst>
            <a:ext uri="{FF2B5EF4-FFF2-40B4-BE49-F238E27FC236}">
              <a16:creationId xmlns:a16="http://schemas.microsoft.com/office/drawing/2014/main" id="{898E6DDC-C9AB-4C18-B5E3-BBC225267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24</xdr:col>
      <xdr:colOff>123825</xdr:colOff>
      <xdr:row>391</xdr:row>
      <xdr:rowOff>76200</xdr:rowOff>
    </xdr:from>
    <xdr:to>
      <xdr:col>28</xdr:col>
      <xdr:colOff>622300</xdr:colOff>
      <xdr:row>404</xdr:row>
      <xdr:rowOff>123825</xdr:rowOff>
    </xdr:to>
    <xdr:graphicFrame macro="">
      <xdr:nvGraphicFramePr>
        <xdr:cNvPr id="552" name="Gráfico 551">
          <a:extLst>
            <a:ext uri="{FF2B5EF4-FFF2-40B4-BE49-F238E27FC236}">
              <a16:creationId xmlns:a16="http://schemas.microsoft.com/office/drawing/2014/main" id="{EF2209A2-55B7-4901-AFC0-1A770CCD3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43</xdr:col>
      <xdr:colOff>238125</xdr:colOff>
      <xdr:row>391</xdr:row>
      <xdr:rowOff>0</xdr:rowOff>
    </xdr:from>
    <xdr:to>
      <xdr:col>47</xdr:col>
      <xdr:colOff>676275</xdr:colOff>
      <xdr:row>405</xdr:row>
      <xdr:rowOff>9524</xdr:rowOff>
    </xdr:to>
    <xdr:graphicFrame macro="">
      <xdr:nvGraphicFramePr>
        <xdr:cNvPr id="553" name="Gráfico 552">
          <a:extLst>
            <a:ext uri="{FF2B5EF4-FFF2-40B4-BE49-F238E27FC236}">
              <a16:creationId xmlns:a16="http://schemas.microsoft.com/office/drawing/2014/main" id="{3BC73924-3D1B-41A7-9E9A-8D3925C7E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10</xdr:col>
      <xdr:colOff>714375</xdr:colOff>
      <xdr:row>411</xdr:row>
      <xdr:rowOff>0</xdr:rowOff>
    </xdr:from>
    <xdr:to>
      <xdr:col>15</xdr:col>
      <xdr:colOff>88900</xdr:colOff>
      <xdr:row>424</xdr:row>
      <xdr:rowOff>28575</xdr:rowOff>
    </xdr:to>
    <xdr:graphicFrame macro="">
      <xdr:nvGraphicFramePr>
        <xdr:cNvPr id="554" name="Gráfico 553">
          <a:extLst>
            <a:ext uri="{FF2B5EF4-FFF2-40B4-BE49-F238E27FC236}">
              <a16:creationId xmlns:a16="http://schemas.microsoft.com/office/drawing/2014/main" id="{E417AB2D-03A3-4017-BF3C-0E21065D1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28</xdr:col>
      <xdr:colOff>638175</xdr:colOff>
      <xdr:row>410</xdr:row>
      <xdr:rowOff>161924</xdr:rowOff>
    </xdr:from>
    <xdr:to>
      <xdr:col>33</xdr:col>
      <xdr:colOff>246856</xdr:colOff>
      <xdr:row>424</xdr:row>
      <xdr:rowOff>28575</xdr:rowOff>
    </xdr:to>
    <xdr:graphicFrame macro="">
      <xdr:nvGraphicFramePr>
        <xdr:cNvPr id="555" name="Gráfico 554">
          <a:extLst>
            <a:ext uri="{FF2B5EF4-FFF2-40B4-BE49-F238E27FC236}">
              <a16:creationId xmlns:a16="http://schemas.microsoft.com/office/drawing/2014/main" id="{E7559FDC-9585-4B53-AE4D-C86C836FE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33</xdr:col>
      <xdr:colOff>295275</xdr:colOff>
      <xdr:row>410</xdr:row>
      <xdr:rowOff>142875</xdr:rowOff>
    </xdr:from>
    <xdr:to>
      <xdr:col>38</xdr:col>
      <xdr:colOff>76995</xdr:colOff>
      <xdr:row>424</xdr:row>
      <xdr:rowOff>66675</xdr:rowOff>
    </xdr:to>
    <xdr:graphicFrame macro="">
      <xdr:nvGraphicFramePr>
        <xdr:cNvPr id="556" name="Gráfico 555">
          <a:extLst>
            <a:ext uri="{FF2B5EF4-FFF2-40B4-BE49-F238E27FC236}">
              <a16:creationId xmlns:a16="http://schemas.microsoft.com/office/drawing/2014/main" id="{72DCCE79-74F7-4501-BFEF-030C32D9A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38</xdr:col>
      <xdr:colOff>142875</xdr:colOff>
      <xdr:row>410</xdr:row>
      <xdr:rowOff>120650</xdr:rowOff>
    </xdr:from>
    <xdr:to>
      <xdr:col>43</xdr:col>
      <xdr:colOff>44451</xdr:colOff>
      <xdr:row>424</xdr:row>
      <xdr:rowOff>85724</xdr:rowOff>
    </xdr:to>
    <xdr:graphicFrame macro="">
      <xdr:nvGraphicFramePr>
        <xdr:cNvPr id="557" name="Gráfico 556">
          <a:extLst>
            <a:ext uri="{FF2B5EF4-FFF2-40B4-BE49-F238E27FC236}">
              <a16:creationId xmlns:a16="http://schemas.microsoft.com/office/drawing/2014/main" id="{0AE2D46B-18CD-4310-9EEF-3B6D0F0D1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47</xdr:col>
      <xdr:colOff>676274</xdr:colOff>
      <xdr:row>410</xdr:row>
      <xdr:rowOff>110332</xdr:rowOff>
    </xdr:from>
    <xdr:to>
      <xdr:col>52</xdr:col>
      <xdr:colOff>104775</xdr:colOff>
      <xdr:row>424</xdr:row>
      <xdr:rowOff>85724</xdr:rowOff>
    </xdr:to>
    <xdr:graphicFrame macro="">
      <xdr:nvGraphicFramePr>
        <xdr:cNvPr id="558" name="Gráfico 557">
          <a:extLst>
            <a:ext uri="{FF2B5EF4-FFF2-40B4-BE49-F238E27FC236}">
              <a16:creationId xmlns:a16="http://schemas.microsoft.com/office/drawing/2014/main" id="{9D8472D2-BB0C-4231-AA1F-C5C836F8D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52</xdr:col>
      <xdr:colOff>142875</xdr:colOff>
      <xdr:row>410</xdr:row>
      <xdr:rowOff>114299</xdr:rowOff>
    </xdr:from>
    <xdr:to>
      <xdr:col>56</xdr:col>
      <xdr:colOff>352425</xdr:colOff>
      <xdr:row>424</xdr:row>
      <xdr:rowOff>47625</xdr:rowOff>
    </xdr:to>
    <xdr:graphicFrame macro="">
      <xdr:nvGraphicFramePr>
        <xdr:cNvPr id="559" name="Gráfico 558">
          <a:extLst>
            <a:ext uri="{FF2B5EF4-FFF2-40B4-BE49-F238E27FC236}">
              <a16:creationId xmlns:a16="http://schemas.microsoft.com/office/drawing/2014/main" id="{9AFE44A4-5CFB-4A94-8262-9E3078E47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6</xdr:col>
      <xdr:colOff>619125</xdr:colOff>
      <xdr:row>410</xdr:row>
      <xdr:rowOff>152400</xdr:rowOff>
    </xdr:from>
    <xdr:to>
      <xdr:col>10</xdr:col>
      <xdr:colOff>679450</xdr:colOff>
      <xdr:row>423</xdr:row>
      <xdr:rowOff>171450</xdr:rowOff>
    </xdr:to>
    <xdr:graphicFrame macro="">
      <xdr:nvGraphicFramePr>
        <xdr:cNvPr id="560" name="Gráfico 559">
          <a:extLst>
            <a:ext uri="{FF2B5EF4-FFF2-40B4-BE49-F238E27FC236}">
              <a16:creationId xmlns:a16="http://schemas.microsoft.com/office/drawing/2014/main" id="{7274BC0C-5F11-4982-A229-F4E4382B7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15</xdr:col>
      <xdr:colOff>142875</xdr:colOff>
      <xdr:row>411</xdr:row>
      <xdr:rowOff>19050</xdr:rowOff>
    </xdr:from>
    <xdr:to>
      <xdr:col>19</xdr:col>
      <xdr:colOff>409574</xdr:colOff>
      <xdr:row>424</xdr:row>
      <xdr:rowOff>28575</xdr:rowOff>
    </xdr:to>
    <xdr:graphicFrame macro="">
      <xdr:nvGraphicFramePr>
        <xdr:cNvPr id="561" name="Gráfico 560">
          <a:extLst>
            <a:ext uri="{FF2B5EF4-FFF2-40B4-BE49-F238E27FC236}">
              <a16:creationId xmlns:a16="http://schemas.microsoft.com/office/drawing/2014/main" id="{2EE991B5-DCE7-4FB5-A498-852B7BEDE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19</xdr:col>
      <xdr:colOff>447675</xdr:colOff>
      <xdr:row>411</xdr:row>
      <xdr:rowOff>19050</xdr:rowOff>
    </xdr:from>
    <xdr:to>
      <xdr:col>23</xdr:col>
      <xdr:colOff>850900</xdr:colOff>
      <xdr:row>424</xdr:row>
      <xdr:rowOff>47625</xdr:rowOff>
    </xdr:to>
    <xdr:graphicFrame macro="">
      <xdr:nvGraphicFramePr>
        <xdr:cNvPr id="562" name="Gráfico 561">
          <a:extLst>
            <a:ext uri="{FF2B5EF4-FFF2-40B4-BE49-F238E27FC236}">
              <a16:creationId xmlns:a16="http://schemas.microsoft.com/office/drawing/2014/main" id="{09AB985A-E986-45A5-9D14-244CC34E4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24</xdr:col>
      <xdr:colOff>28575</xdr:colOff>
      <xdr:row>410</xdr:row>
      <xdr:rowOff>171450</xdr:rowOff>
    </xdr:from>
    <xdr:to>
      <xdr:col>28</xdr:col>
      <xdr:colOff>527050</xdr:colOff>
      <xdr:row>424</xdr:row>
      <xdr:rowOff>28575</xdr:rowOff>
    </xdr:to>
    <xdr:graphicFrame macro="">
      <xdr:nvGraphicFramePr>
        <xdr:cNvPr id="563" name="Gráfico 562">
          <a:extLst>
            <a:ext uri="{FF2B5EF4-FFF2-40B4-BE49-F238E27FC236}">
              <a16:creationId xmlns:a16="http://schemas.microsoft.com/office/drawing/2014/main" id="{230AD657-2EB5-49E8-B21B-0D344F705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43</xdr:col>
      <xdr:colOff>142875</xdr:colOff>
      <xdr:row>410</xdr:row>
      <xdr:rowOff>95250</xdr:rowOff>
    </xdr:from>
    <xdr:to>
      <xdr:col>47</xdr:col>
      <xdr:colOff>581025</xdr:colOff>
      <xdr:row>424</xdr:row>
      <xdr:rowOff>104774</xdr:rowOff>
    </xdr:to>
    <xdr:graphicFrame macro="">
      <xdr:nvGraphicFramePr>
        <xdr:cNvPr id="564" name="Gráfico 563">
          <a:extLst>
            <a:ext uri="{FF2B5EF4-FFF2-40B4-BE49-F238E27FC236}">
              <a16:creationId xmlns:a16="http://schemas.microsoft.com/office/drawing/2014/main" id="{1569AC4B-85CD-447A-81D5-7B4E7BA7E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10</xdr:col>
      <xdr:colOff>762000</xdr:colOff>
      <xdr:row>429</xdr:row>
      <xdr:rowOff>95250</xdr:rowOff>
    </xdr:from>
    <xdr:to>
      <xdr:col>15</xdr:col>
      <xdr:colOff>136525</xdr:colOff>
      <xdr:row>442</xdr:row>
      <xdr:rowOff>123825</xdr:rowOff>
    </xdr:to>
    <xdr:graphicFrame macro="">
      <xdr:nvGraphicFramePr>
        <xdr:cNvPr id="565" name="Gráfico 564">
          <a:extLst>
            <a:ext uri="{FF2B5EF4-FFF2-40B4-BE49-F238E27FC236}">
              <a16:creationId xmlns:a16="http://schemas.microsoft.com/office/drawing/2014/main" id="{2D586ED9-32F6-4020-8C4E-E415F773B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28</xdr:col>
      <xdr:colOff>685800</xdr:colOff>
      <xdr:row>429</xdr:row>
      <xdr:rowOff>66674</xdr:rowOff>
    </xdr:from>
    <xdr:to>
      <xdr:col>33</xdr:col>
      <xdr:colOff>294481</xdr:colOff>
      <xdr:row>442</xdr:row>
      <xdr:rowOff>123825</xdr:rowOff>
    </xdr:to>
    <xdr:graphicFrame macro="">
      <xdr:nvGraphicFramePr>
        <xdr:cNvPr id="566" name="Gráfico 565">
          <a:extLst>
            <a:ext uri="{FF2B5EF4-FFF2-40B4-BE49-F238E27FC236}">
              <a16:creationId xmlns:a16="http://schemas.microsoft.com/office/drawing/2014/main" id="{6B8599BA-3183-40C2-A548-4B8B0CBE8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33</xdr:col>
      <xdr:colOff>342900</xdr:colOff>
      <xdr:row>429</xdr:row>
      <xdr:rowOff>47625</xdr:rowOff>
    </xdr:from>
    <xdr:to>
      <xdr:col>38</xdr:col>
      <xdr:colOff>124620</xdr:colOff>
      <xdr:row>442</xdr:row>
      <xdr:rowOff>161925</xdr:rowOff>
    </xdr:to>
    <xdr:graphicFrame macro="">
      <xdr:nvGraphicFramePr>
        <xdr:cNvPr id="567" name="Gráfico 566">
          <a:extLst>
            <a:ext uri="{FF2B5EF4-FFF2-40B4-BE49-F238E27FC236}">
              <a16:creationId xmlns:a16="http://schemas.microsoft.com/office/drawing/2014/main" id="{F7010EC1-7F9F-49B9-A169-EDC1A9B2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38</xdr:col>
      <xdr:colOff>190500</xdr:colOff>
      <xdr:row>429</xdr:row>
      <xdr:rowOff>25400</xdr:rowOff>
    </xdr:from>
    <xdr:to>
      <xdr:col>43</xdr:col>
      <xdr:colOff>92076</xdr:colOff>
      <xdr:row>442</xdr:row>
      <xdr:rowOff>180974</xdr:rowOff>
    </xdr:to>
    <xdr:graphicFrame macro="">
      <xdr:nvGraphicFramePr>
        <xdr:cNvPr id="568" name="Gráfico 567">
          <a:extLst>
            <a:ext uri="{FF2B5EF4-FFF2-40B4-BE49-F238E27FC236}">
              <a16:creationId xmlns:a16="http://schemas.microsoft.com/office/drawing/2014/main" id="{B3B27F60-D1F1-41D4-9BDC-9A3E55C87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47</xdr:col>
      <xdr:colOff>723899</xdr:colOff>
      <xdr:row>429</xdr:row>
      <xdr:rowOff>15082</xdr:rowOff>
    </xdr:from>
    <xdr:to>
      <xdr:col>52</xdr:col>
      <xdr:colOff>152400</xdr:colOff>
      <xdr:row>442</xdr:row>
      <xdr:rowOff>180974</xdr:rowOff>
    </xdr:to>
    <xdr:graphicFrame macro="">
      <xdr:nvGraphicFramePr>
        <xdr:cNvPr id="569" name="Gráfico 568">
          <a:extLst>
            <a:ext uri="{FF2B5EF4-FFF2-40B4-BE49-F238E27FC236}">
              <a16:creationId xmlns:a16="http://schemas.microsoft.com/office/drawing/2014/main" id="{F53EC2C2-C736-4A79-B009-6C23FFFD4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52</xdr:col>
      <xdr:colOff>190500</xdr:colOff>
      <xdr:row>429</xdr:row>
      <xdr:rowOff>19049</xdr:rowOff>
    </xdr:from>
    <xdr:to>
      <xdr:col>56</xdr:col>
      <xdr:colOff>400050</xdr:colOff>
      <xdr:row>442</xdr:row>
      <xdr:rowOff>142875</xdr:rowOff>
    </xdr:to>
    <xdr:graphicFrame macro="">
      <xdr:nvGraphicFramePr>
        <xdr:cNvPr id="570" name="Gráfico 569">
          <a:extLst>
            <a:ext uri="{FF2B5EF4-FFF2-40B4-BE49-F238E27FC236}">
              <a16:creationId xmlns:a16="http://schemas.microsoft.com/office/drawing/2014/main" id="{4777E70A-8734-4032-9F2F-72C475190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6</xdr:col>
      <xdr:colOff>666750</xdr:colOff>
      <xdr:row>429</xdr:row>
      <xdr:rowOff>57150</xdr:rowOff>
    </xdr:from>
    <xdr:to>
      <xdr:col>10</xdr:col>
      <xdr:colOff>727075</xdr:colOff>
      <xdr:row>442</xdr:row>
      <xdr:rowOff>76200</xdr:rowOff>
    </xdr:to>
    <xdr:graphicFrame macro="">
      <xdr:nvGraphicFramePr>
        <xdr:cNvPr id="571" name="Gráfico 570">
          <a:extLst>
            <a:ext uri="{FF2B5EF4-FFF2-40B4-BE49-F238E27FC236}">
              <a16:creationId xmlns:a16="http://schemas.microsoft.com/office/drawing/2014/main" id="{9043257E-09E6-478E-9FB6-561A4A0F3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15</xdr:col>
      <xdr:colOff>190500</xdr:colOff>
      <xdr:row>429</xdr:row>
      <xdr:rowOff>114300</xdr:rowOff>
    </xdr:from>
    <xdr:to>
      <xdr:col>19</xdr:col>
      <xdr:colOff>457199</xdr:colOff>
      <xdr:row>442</xdr:row>
      <xdr:rowOff>123825</xdr:rowOff>
    </xdr:to>
    <xdr:graphicFrame macro="">
      <xdr:nvGraphicFramePr>
        <xdr:cNvPr id="572" name="Gráfico 571">
          <a:extLst>
            <a:ext uri="{FF2B5EF4-FFF2-40B4-BE49-F238E27FC236}">
              <a16:creationId xmlns:a16="http://schemas.microsoft.com/office/drawing/2014/main" id="{B883F5F6-18FA-41A7-841A-0C2CEAB48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19</xdr:col>
      <xdr:colOff>495300</xdr:colOff>
      <xdr:row>429</xdr:row>
      <xdr:rowOff>114300</xdr:rowOff>
    </xdr:from>
    <xdr:to>
      <xdr:col>24</xdr:col>
      <xdr:colOff>41275</xdr:colOff>
      <xdr:row>442</xdr:row>
      <xdr:rowOff>142875</xdr:rowOff>
    </xdr:to>
    <xdr:graphicFrame macro="">
      <xdr:nvGraphicFramePr>
        <xdr:cNvPr id="573" name="Gráfico 572">
          <a:extLst>
            <a:ext uri="{FF2B5EF4-FFF2-40B4-BE49-F238E27FC236}">
              <a16:creationId xmlns:a16="http://schemas.microsoft.com/office/drawing/2014/main" id="{BF07A89F-F063-45AF-BBBD-EFE86EA9E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24</xdr:col>
      <xdr:colOff>76200</xdr:colOff>
      <xdr:row>429</xdr:row>
      <xdr:rowOff>76200</xdr:rowOff>
    </xdr:from>
    <xdr:to>
      <xdr:col>28</xdr:col>
      <xdr:colOff>574675</xdr:colOff>
      <xdr:row>442</xdr:row>
      <xdr:rowOff>123825</xdr:rowOff>
    </xdr:to>
    <xdr:graphicFrame macro="">
      <xdr:nvGraphicFramePr>
        <xdr:cNvPr id="574" name="Gráfico 573">
          <a:extLst>
            <a:ext uri="{FF2B5EF4-FFF2-40B4-BE49-F238E27FC236}">
              <a16:creationId xmlns:a16="http://schemas.microsoft.com/office/drawing/2014/main" id="{C37EB675-A8E9-48EA-8E21-00A2B79E3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43</xdr:col>
      <xdr:colOff>190500</xdr:colOff>
      <xdr:row>429</xdr:row>
      <xdr:rowOff>0</xdr:rowOff>
    </xdr:from>
    <xdr:to>
      <xdr:col>47</xdr:col>
      <xdr:colOff>628650</xdr:colOff>
      <xdr:row>443</xdr:row>
      <xdr:rowOff>9524</xdr:rowOff>
    </xdr:to>
    <xdr:graphicFrame macro="">
      <xdr:nvGraphicFramePr>
        <xdr:cNvPr id="575" name="Gráfico 574">
          <a:extLst>
            <a:ext uri="{FF2B5EF4-FFF2-40B4-BE49-F238E27FC236}">
              <a16:creationId xmlns:a16="http://schemas.microsoft.com/office/drawing/2014/main" id="{C240E410-44D4-40D9-A97B-E0095D95A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10</xdr:col>
      <xdr:colOff>714375</xdr:colOff>
      <xdr:row>449</xdr:row>
      <xdr:rowOff>0</xdr:rowOff>
    </xdr:from>
    <xdr:to>
      <xdr:col>15</xdr:col>
      <xdr:colOff>88900</xdr:colOff>
      <xdr:row>462</xdr:row>
      <xdr:rowOff>28575</xdr:rowOff>
    </xdr:to>
    <xdr:graphicFrame macro="">
      <xdr:nvGraphicFramePr>
        <xdr:cNvPr id="576" name="Gráfico 575">
          <a:extLst>
            <a:ext uri="{FF2B5EF4-FFF2-40B4-BE49-F238E27FC236}">
              <a16:creationId xmlns:a16="http://schemas.microsoft.com/office/drawing/2014/main" id="{C8C89F0A-A982-4573-8093-2022B3A84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28</xdr:col>
      <xdr:colOff>638175</xdr:colOff>
      <xdr:row>448</xdr:row>
      <xdr:rowOff>161924</xdr:rowOff>
    </xdr:from>
    <xdr:to>
      <xdr:col>33</xdr:col>
      <xdr:colOff>246856</xdr:colOff>
      <xdr:row>462</xdr:row>
      <xdr:rowOff>28575</xdr:rowOff>
    </xdr:to>
    <xdr:graphicFrame macro="">
      <xdr:nvGraphicFramePr>
        <xdr:cNvPr id="577" name="Gráfico 576">
          <a:extLst>
            <a:ext uri="{FF2B5EF4-FFF2-40B4-BE49-F238E27FC236}">
              <a16:creationId xmlns:a16="http://schemas.microsoft.com/office/drawing/2014/main" id="{5649D689-05B0-46CE-B5EC-71946ADE7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33</xdr:col>
      <xdr:colOff>295275</xdr:colOff>
      <xdr:row>448</xdr:row>
      <xdr:rowOff>142875</xdr:rowOff>
    </xdr:from>
    <xdr:to>
      <xdr:col>38</xdr:col>
      <xdr:colOff>76995</xdr:colOff>
      <xdr:row>462</xdr:row>
      <xdr:rowOff>66675</xdr:rowOff>
    </xdr:to>
    <xdr:graphicFrame macro="">
      <xdr:nvGraphicFramePr>
        <xdr:cNvPr id="578" name="Gráfico 577">
          <a:extLst>
            <a:ext uri="{FF2B5EF4-FFF2-40B4-BE49-F238E27FC236}">
              <a16:creationId xmlns:a16="http://schemas.microsoft.com/office/drawing/2014/main" id="{C7724965-2F23-4179-918A-CF1107976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38</xdr:col>
      <xdr:colOff>142875</xdr:colOff>
      <xdr:row>448</xdr:row>
      <xdr:rowOff>120650</xdr:rowOff>
    </xdr:from>
    <xdr:to>
      <xdr:col>43</xdr:col>
      <xdr:colOff>44451</xdr:colOff>
      <xdr:row>462</xdr:row>
      <xdr:rowOff>85724</xdr:rowOff>
    </xdr:to>
    <xdr:graphicFrame macro="">
      <xdr:nvGraphicFramePr>
        <xdr:cNvPr id="579" name="Gráfico 578">
          <a:extLst>
            <a:ext uri="{FF2B5EF4-FFF2-40B4-BE49-F238E27FC236}">
              <a16:creationId xmlns:a16="http://schemas.microsoft.com/office/drawing/2014/main" id="{A07148B7-E4E1-46A9-A984-F0F3DC0F4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47</xdr:col>
      <xdr:colOff>676274</xdr:colOff>
      <xdr:row>448</xdr:row>
      <xdr:rowOff>110332</xdr:rowOff>
    </xdr:from>
    <xdr:to>
      <xdr:col>52</xdr:col>
      <xdr:colOff>104775</xdr:colOff>
      <xdr:row>462</xdr:row>
      <xdr:rowOff>85724</xdr:rowOff>
    </xdr:to>
    <xdr:graphicFrame macro="">
      <xdr:nvGraphicFramePr>
        <xdr:cNvPr id="580" name="Gráfico 579">
          <a:extLst>
            <a:ext uri="{FF2B5EF4-FFF2-40B4-BE49-F238E27FC236}">
              <a16:creationId xmlns:a16="http://schemas.microsoft.com/office/drawing/2014/main" id="{6A0B87B6-739F-4372-814C-517F39303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52</xdr:col>
      <xdr:colOff>142875</xdr:colOff>
      <xdr:row>448</xdr:row>
      <xdr:rowOff>114299</xdr:rowOff>
    </xdr:from>
    <xdr:to>
      <xdr:col>56</xdr:col>
      <xdr:colOff>352425</xdr:colOff>
      <xdr:row>462</xdr:row>
      <xdr:rowOff>47625</xdr:rowOff>
    </xdr:to>
    <xdr:graphicFrame macro="">
      <xdr:nvGraphicFramePr>
        <xdr:cNvPr id="581" name="Gráfico 580">
          <a:extLst>
            <a:ext uri="{FF2B5EF4-FFF2-40B4-BE49-F238E27FC236}">
              <a16:creationId xmlns:a16="http://schemas.microsoft.com/office/drawing/2014/main" id="{EB5B3990-9D7C-4343-96CC-C856B589C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6</xdr:col>
      <xdr:colOff>619125</xdr:colOff>
      <xdr:row>448</xdr:row>
      <xdr:rowOff>152400</xdr:rowOff>
    </xdr:from>
    <xdr:to>
      <xdr:col>10</xdr:col>
      <xdr:colOff>679450</xdr:colOff>
      <xdr:row>461</xdr:row>
      <xdr:rowOff>171450</xdr:rowOff>
    </xdr:to>
    <xdr:graphicFrame macro="">
      <xdr:nvGraphicFramePr>
        <xdr:cNvPr id="582" name="Gráfico 581">
          <a:extLst>
            <a:ext uri="{FF2B5EF4-FFF2-40B4-BE49-F238E27FC236}">
              <a16:creationId xmlns:a16="http://schemas.microsoft.com/office/drawing/2014/main" id="{EB3A52E4-D1C5-44CE-95FB-7766E85A2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15</xdr:col>
      <xdr:colOff>142875</xdr:colOff>
      <xdr:row>449</xdr:row>
      <xdr:rowOff>19050</xdr:rowOff>
    </xdr:from>
    <xdr:to>
      <xdr:col>19</xdr:col>
      <xdr:colOff>409574</xdr:colOff>
      <xdr:row>462</xdr:row>
      <xdr:rowOff>28575</xdr:rowOff>
    </xdr:to>
    <xdr:graphicFrame macro="">
      <xdr:nvGraphicFramePr>
        <xdr:cNvPr id="583" name="Gráfico 582">
          <a:extLst>
            <a:ext uri="{FF2B5EF4-FFF2-40B4-BE49-F238E27FC236}">
              <a16:creationId xmlns:a16="http://schemas.microsoft.com/office/drawing/2014/main" id="{B333ED24-D871-41D4-BBBC-A465EAEEA4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19</xdr:col>
      <xdr:colOff>447675</xdr:colOff>
      <xdr:row>449</xdr:row>
      <xdr:rowOff>19050</xdr:rowOff>
    </xdr:from>
    <xdr:to>
      <xdr:col>23</xdr:col>
      <xdr:colOff>850900</xdr:colOff>
      <xdr:row>462</xdr:row>
      <xdr:rowOff>47625</xdr:rowOff>
    </xdr:to>
    <xdr:graphicFrame macro="">
      <xdr:nvGraphicFramePr>
        <xdr:cNvPr id="584" name="Gráfico 583">
          <a:extLst>
            <a:ext uri="{FF2B5EF4-FFF2-40B4-BE49-F238E27FC236}">
              <a16:creationId xmlns:a16="http://schemas.microsoft.com/office/drawing/2014/main" id="{BBA176BF-2536-4166-AB7E-915DC8C16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24</xdr:col>
      <xdr:colOff>28575</xdr:colOff>
      <xdr:row>448</xdr:row>
      <xdr:rowOff>171450</xdr:rowOff>
    </xdr:from>
    <xdr:to>
      <xdr:col>28</xdr:col>
      <xdr:colOff>527050</xdr:colOff>
      <xdr:row>462</xdr:row>
      <xdr:rowOff>28575</xdr:rowOff>
    </xdr:to>
    <xdr:graphicFrame macro="">
      <xdr:nvGraphicFramePr>
        <xdr:cNvPr id="585" name="Gráfico 584">
          <a:extLst>
            <a:ext uri="{FF2B5EF4-FFF2-40B4-BE49-F238E27FC236}">
              <a16:creationId xmlns:a16="http://schemas.microsoft.com/office/drawing/2014/main" id="{42A58A6B-C481-43C9-84E3-759524991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43</xdr:col>
      <xdr:colOff>142875</xdr:colOff>
      <xdr:row>448</xdr:row>
      <xdr:rowOff>95250</xdr:rowOff>
    </xdr:from>
    <xdr:to>
      <xdr:col>47</xdr:col>
      <xdr:colOff>581025</xdr:colOff>
      <xdr:row>462</xdr:row>
      <xdr:rowOff>104774</xdr:rowOff>
    </xdr:to>
    <xdr:graphicFrame macro="">
      <xdr:nvGraphicFramePr>
        <xdr:cNvPr id="586" name="Gráfico 585">
          <a:extLst>
            <a:ext uri="{FF2B5EF4-FFF2-40B4-BE49-F238E27FC236}">
              <a16:creationId xmlns:a16="http://schemas.microsoft.com/office/drawing/2014/main" id="{01BFF9A6-87CF-4A21-9CFF-AF75F116A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150812</xdr:colOff>
      <xdr:row>25</xdr:row>
      <xdr:rowOff>190499</xdr:rowOff>
    </xdr:from>
    <xdr:to>
      <xdr:col>27</xdr:col>
      <xdr:colOff>250031</xdr:colOff>
      <xdr:row>26</xdr:row>
      <xdr:rowOff>0</xdr:rowOff>
    </xdr:to>
    <xdr:graphicFrame macro="">
      <xdr:nvGraphicFramePr>
        <xdr:cNvPr id="303" name="Gráfico 302">
          <a:extLst>
            <a:ext uri="{FF2B5EF4-FFF2-40B4-BE49-F238E27FC236}">
              <a16:creationId xmlns:a16="http://schemas.microsoft.com/office/drawing/2014/main" id="{F9A6C08B-5B1D-4D39-8E92-42C5537F6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281782</xdr:colOff>
      <xdr:row>14</xdr:row>
      <xdr:rowOff>194468</xdr:rowOff>
    </xdr:from>
    <xdr:to>
      <xdr:col>30</xdr:col>
      <xdr:colOff>381001</xdr:colOff>
      <xdr:row>15</xdr:row>
      <xdr:rowOff>0</xdr:rowOff>
    </xdr:to>
    <xdr:graphicFrame macro="">
      <xdr:nvGraphicFramePr>
        <xdr:cNvPr id="304" name="Gráfico 303">
          <a:extLst>
            <a:ext uri="{FF2B5EF4-FFF2-40B4-BE49-F238E27FC236}">
              <a16:creationId xmlns:a16="http://schemas.microsoft.com/office/drawing/2014/main" id="{041C5250-31D6-4145-BCCC-D5460B879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432594</xdr:colOff>
      <xdr:row>14</xdr:row>
      <xdr:rowOff>158750</xdr:rowOff>
    </xdr:from>
    <xdr:to>
      <xdr:col>33</xdr:col>
      <xdr:colOff>420688</xdr:colOff>
      <xdr:row>15</xdr:row>
      <xdr:rowOff>0</xdr:rowOff>
    </xdr:to>
    <xdr:graphicFrame macro="">
      <xdr:nvGraphicFramePr>
        <xdr:cNvPr id="305" name="Gráfico 304">
          <a:extLst>
            <a:ext uri="{FF2B5EF4-FFF2-40B4-BE49-F238E27FC236}">
              <a16:creationId xmlns:a16="http://schemas.microsoft.com/office/drawing/2014/main" id="{EFE9AF86-5FA0-4A26-A3E4-501B2D6B2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19</xdr:col>
      <xdr:colOff>530678</xdr:colOff>
      <xdr:row>26</xdr:row>
      <xdr:rowOff>149679</xdr:rowOff>
    </xdr:from>
    <xdr:to>
      <xdr:col>22</xdr:col>
      <xdr:colOff>449037</xdr:colOff>
      <xdr:row>27</xdr:row>
      <xdr:rowOff>0</xdr:rowOff>
    </xdr:to>
    <xdr:graphicFrame macro="">
      <xdr:nvGraphicFramePr>
        <xdr:cNvPr id="15" name="Gráfico 14">
          <a:extLst>
            <a:ext uri="{FF2B5EF4-FFF2-40B4-BE49-F238E27FC236}">
              <a16:creationId xmlns:a16="http://schemas.microsoft.com/office/drawing/2014/main" id="{66AEC170-F812-48D9-82A7-BE4678148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421821</xdr:colOff>
      <xdr:row>26</xdr:row>
      <xdr:rowOff>149679</xdr:rowOff>
    </xdr:from>
    <xdr:to>
      <xdr:col>28</xdr:col>
      <xdr:colOff>340180</xdr:colOff>
      <xdr:row>27</xdr:row>
      <xdr:rowOff>0</xdr:rowOff>
    </xdr:to>
    <xdr:graphicFrame macro="">
      <xdr:nvGraphicFramePr>
        <xdr:cNvPr id="17" name="Gráfico 16">
          <a:extLst>
            <a:ext uri="{FF2B5EF4-FFF2-40B4-BE49-F238E27FC236}">
              <a16:creationId xmlns:a16="http://schemas.microsoft.com/office/drawing/2014/main" id="{54D30847-8371-4106-B543-87C2C4733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394607</xdr:colOff>
      <xdr:row>15</xdr:row>
      <xdr:rowOff>136072</xdr:rowOff>
    </xdr:from>
    <xdr:to>
      <xdr:col>31</xdr:col>
      <xdr:colOff>312966</xdr:colOff>
      <xdr:row>16</xdr:row>
      <xdr:rowOff>0</xdr:rowOff>
    </xdr:to>
    <xdr:graphicFrame macro="">
      <xdr:nvGraphicFramePr>
        <xdr:cNvPr id="18" name="Gráfico 17">
          <a:extLst>
            <a:ext uri="{FF2B5EF4-FFF2-40B4-BE49-F238E27FC236}">
              <a16:creationId xmlns:a16="http://schemas.microsoft.com/office/drawing/2014/main" id="{AF525B4E-581A-41D9-9CB4-381E28E35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340179</xdr:colOff>
      <xdr:row>15</xdr:row>
      <xdr:rowOff>136071</xdr:rowOff>
    </xdr:from>
    <xdr:to>
      <xdr:col>34</xdr:col>
      <xdr:colOff>258538</xdr:colOff>
      <xdr:row>16</xdr:row>
      <xdr:rowOff>0</xdr:rowOff>
    </xdr:to>
    <xdr:graphicFrame macro="">
      <xdr:nvGraphicFramePr>
        <xdr:cNvPr id="19" name="Gráfico 18">
          <a:extLst>
            <a:ext uri="{FF2B5EF4-FFF2-40B4-BE49-F238E27FC236}">
              <a16:creationId xmlns:a16="http://schemas.microsoft.com/office/drawing/2014/main" id="{7D22EBD8-CCB1-4741-AE52-129D5063B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ED1F1-7AAD-43FE-B6C8-B7C494DBD815}">
  <sheetPr codeName="Planilha3">
    <tabColor rgb="FF0070C0"/>
  </sheetPr>
  <dimension ref="A1:AK399"/>
  <sheetViews>
    <sheetView tabSelected="1" zoomScale="33" zoomScaleNormal="33" workbookViewId="0">
      <pane xSplit="1" topLeftCell="C1" activePane="topRight" state="frozen"/>
      <selection pane="topRight" activeCell="A16" sqref="A16"/>
    </sheetView>
  </sheetViews>
  <sheetFormatPr defaultColWidth="8.77734375" defaultRowHeight="13.2" x14ac:dyDescent="0.25"/>
  <cols>
    <col min="1" max="1" width="99.77734375" style="31" customWidth="1"/>
    <col min="2" max="2" width="10.21875" style="15" hidden="1" customWidth="1"/>
    <col min="3" max="3" width="9" style="136" customWidth="1"/>
    <col min="4" max="4" width="41" style="72" bestFit="1" customWidth="1"/>
    <col min="5" max="5" width="21" style="15" customWidth="1"/>
    <col min="6" max="6" width="19.77734375" style="15" customWidth="1"/>
    <col min="7" max="7" width="13.44140625" style="15" bestFit="1" customWidth="1"/>
    <col min="8" max="12" width="9.21875" style="15"/>
    <col min="13" max="13" width="13.44140625" style="15" customWidth="1"/>
    <col min="14" max="14" width="6.77734375" style="15" customWidth="1"/>
    <col min="15" max="15" width="18.77734375" style="15" bestFit="1" customWidth="1"/>
    <col min="16" max="16" width="17" style="15" customWidth="1"/>
    <col min="17" max="17" width="9.21875" style="15"/>
    <col min="18" max="18" width="13.44140625" style="15" customWidth="1"/>
    <col min="19" max="19" width="19.77734375" style="15" customWidth="1"/>
    <col min="20" max="20" width="56.77734375" style="72" bestFit="1" customWidth="1"/>
    <col min="21" max="21" width="19" style="15" customWidth="1"/>
    <col min="22" max="30" width="9.21875" style="15"/>
    <col min="31" max="31" width="9.44140625" style="15" customWidth="1"/>
    <col min="32" max="37" width="8.77734375" style="15"/>
  </cols>
  <sheetData>
    <row r="1" spans="1:26" ht="13.5" customHeight="1" thickBot="1" x14ac:dyDescent="0.3"/>
    <row r="2" spans="1:26" ht="15" customHeight="1" x14ac:dyDescent="0.25">
      <c r="E2" s="196" t="s">
        <v>279</v>
      </c>
      <c r="F2" s="197"/>
      <c r="G2" s="197"/>
      <c r="H2" s="197"/>
      <c r="I2" s="197"/>
      <c r="J2" s="197"/>
      <c r="K2" s="197"/>
      <c r="L2" s="197"/>
      <c r="M2" s="197"/>
      <c r="N2" s="197"/>
      <c r="O2" s="197"/>
      <c r="P2" s="197"/>
      <c r="Q2" s="197"/>
      <c r="R2" s="197"/>
      <c r="S2" s="198"/>
      <c r="T2" s="73"/>
      <c r="U2" s="22"/>
      <c r="V2" s="22"/>
      <c r="W2" s="22"/>
      <c r="X2" s="22"/>
      <c r="Y2" s="22"/>
      <c r="Z2" s="22"/>
    </row>
    <row r="3" spans="1:26" ht="15" customHeight="1" x14ac:dyDescent="0.25">
      <c r="E3" s="199"/>
      <c r="F3" s="200"/>
      <c r="G3" s="200"/>
      <c r="H3" s="200"/>
      <c r="I3" s="200"/>
      <c r="J3" s="200"/>
      <c r="K3" s="200"/>
      <c r="L3" s="200"/>
      <c r="M3" s="200"/>
      <c r="N3" s="200"/>
      <c r="O3" s="200"/>
      <c r="P3" s="200"/>
      <c r="Q3" s="200"/>
      <c r="R3" s="200"/>
      <c r="S3" s="201"/>
      <c r="T3" s="73"/>
      <c r="U3" s="22"/>
      <c r="V3" s="22"/>
      <c r="W3" s="22"/>
      <c r="X3" s="22"/>
      <c r="Y3" s="22"/>
      <c r="Z3" s="22"/>
    </row>
    <row r="4" spans="1:26" ht="15" customHeight="1" x14ac:dyDescent="0.25">
      <c r="E4" s="199"/>
      <c r="F4" s="200"/>
      <c r="G4" s="200"/>
      <c r="H4" s="200"/>
      <c r="I4" s="200"/>
      <c r="J4" s="200"/>
      <c r="K4" s="200"/>
      <c r="L4" s="200"/>
      <c r="M4" s="200"/>
      <c r="N4" s="200"/>
      <c r="O4" s="200"/>
      <c r="P4" s="200"/>
      <c r="Q4" s="200"/>
      <c r="R4" s="200"/>
      <c r="S4" s="201"/>
      <c r="T4" s="73"/>
      <c r="U4" s="22"/>
      <c r="V4" s="22"/>
      <c r="W4" s="22"/>
      <c r="X4" s="22"/>
      <c r="Y4" s="22"/>
      <c r="Z4" s="22"/>
    </row>
    <row r="5" spans="1:26" ht="15" customHeight="1" thickBot="1" x14ac:dyDescent="0.3">
      <c r="E5" s="202"/>
      <c r="F5" s="203"/>
      <c r="G5" s="203"/>
      <c r="H5" s="203"/>
      <c r="I5" s="203"/>
      <c r="J5" s="203"/>
      <c r="K5" s="203"/>
      <c r="L5" s="203"/>
      <c r="M5" s="203"/>
      <c r="N5" s="203"/>
      <c r="O5" s="203"/>
      <c r="P5" s="203"/>
      <c r="Q5" s="203"/>
      <c r="R5" s="203"/>
      <c r="S5" s="204"/>
      <c r="T5" s="73"/>
      <c r="U5" s="22"/>
      <c r="V5" s="22"/>
      <c r="W5" s="22"/>
      <c r="X5" s="22"/>
      <c r="Y5" s="22"/>
      <c r="Z5" s="22"/>
    </row>
    <row r="6" spans="1:26" ht="15" customHeight="1" x14ac:dyDescent="0.4">
      <c r="E6" s="30"/>
      <c r="T6" s="74"/>
      <c r="U6" s="43"/>
    </row>
    <row r="7" spans="1:26" ht="15" customHeight="1" x14ac:dyDescent="0.3">
      <c r="D7" s="19"/>
      <c r="E7" s="32" t="s">
        <v>247</v>
      </c>
      <c r="F7" s="17" t="str">
        <f>'1-Autoavaliacao-Institucional'!F1</f>
        <v>05-	Você conhece/ia o Regimento do PGMAT (versão 2017) ?</v>
      </c>
      <c r="T7" s="36" t="str">
        <f>E7</f>
        <v>QUESTÃO 05</v>
      </c>
      <c r="U7" s="117"/>
    </row>
    <row r="8" spans="1:26" ht="15" customHeight="1" x14ac:dyDescent="0.3">
      <c r="D8" s="19"/>
      <c r="E8" s="18"/>
      <c r="T8" s="19"/>
      <c r="U8" s="16"/>
    </row>
    <row r="9" spans="1:26" ht="15" customHeight="1" x14ac:dyDescent="0.3">
      <c r="E9" s="23" t="s">
        <v>245</v>
      </c>
      <c r="F9" s="23" t="s">
        <v>246</v>
      </c>
      <c r="T9" s="66" t="str">
        <f t="shared" ref="T9:T14" si="0">D10</f>
        <v>5-ÓTIMO</v>
      </c>
      <c r="U9" s="145">
        <f>(COUNTIFS('1-Autoavaliacao-Institucional'!F$2:F$59,5)+COUNTIFS('1-Autoavaliacao-Institucional'!F$77:F$121,5))/$A$17</f>
        <v>0.39805825242718446</v>
      </c>
    </row>
    <row r="10" spans="1:26" ht="15" customHeight="1" x14ac:dyDescent="0.25">
      <c r="D10" s="66" t="str">
        <f>$A$21</f>
        <v>5-ÓTIMO</v>
      </c>
      <c r="E10" s="24">
        <f>'1-Autoavaliacao-Institucional'!F63</f>
        <v>0.41379310344827586</v>
      </c>
      <c r="F10" s="25">
        <f>'1-Autoavaliacao-Institucional'!F128</f>
        <v>0.37777777777777777</v>
      </c>
      <c r="T10" s="67" t="str">
        <f t="shared" si="0"/>
        <v>4-MUITO BOM</v>
      </c>
      <c r="U10" s="146">
        <f>(COUNTIFS('1-Autoavaliacao-Institucional'!F$2:F$59,4)+COUNTIFS('1-Autoavaliacao-Institucional'!F$77:F$121,4))/$A$17</f>
        <v>0.1941747572815534</v>
      </c>
    </row>
    <row r="11" spans="1:26" ht="15" customHeight="1" x14ac:dyDescent="0.25">
      <c r="D11" s="67" t="str">
        <f>$A$22</f>
        <v>4-MUITO BOM</v>
      </c>
      <c r="E11" s="26">
        <f>'1-Autoavaliacao-Institucional'!F64</f>
        <v>0.17241379310344829</v>
      </c>
      <c r="F11" s="27">
        <f>'1-Autoavaliacao-Institucional'!F129</f>
        <v>0.22222222222222221</v>
      </c>
      <c r="T11" s="67" t="str">
        <f t="shared" si="0"/>
        <v>3-BOM</v>
      </c>
      <c r="U11" s="146">
        <f>(COUNTIFS('1-Autoavaliacao-Institucional'!F$2:F$59,3)+COUNTIFS('1-Autoavaliacao-Institucional'!F$77:F$121,3))/$A$17</f>
        <v>0.11650485436893204</v>
      </c>
    </row>
    <row r="12" spans="1:26" ht="15" customHeight="1" x14ac:dyDescent="0.25">
      <c r="D12" s="67" t="str">
        <f>$A$23</f>
        <v>3-BOM</v>
      </c>
      <c r="E12" s="26">
        <f>'1-Autoavaliacao-Institucional'!F65</f>
        <v>0.10344827586206896</v>
      </c>
      <c r="F12" s="27">
        <f>'1-Autoavaliacao-Institucional'!F130</f>
        <v>0.13333333333333333</v>
      </c>
      <c r="T12" s="67" t="str">
        <f t="shared" si="0"/>
        <v>2-REGULAR</v>
      </c>
      <c r="U12" s="146">
        <f>(COUNTIFS('1-Autoavaliacao-Institucional'!F$2:F$59,2)+COUNTIFS('1-Autoavaliacao-Institucional'!F$77:F$121,2))/$A$17</f>
        <v>1.9417475728155338E-2</v>
      </c>
    </row>
    <row r="13" spans="1:26" ht="15" customHeight="1" x14ac:dyDescent="0.25">
      <c r="D13" s="67" t="str">
        <f>$A$24</f>
        <v>2-REGULAR</v>
      </c>
      <c r="E13" s="26">
        <f>'1-Autoavaliacao-Institucional'!F66</f>
        <v>0</v>
      </c>
      <c r="F13" s="27">
        <f>'1-Autoavaliacao-Institucional'!F131</f>
        <v>4.4444444444444446E-2</v>
      </c>
      <c r="T13" s="67" t="str">
        <f t="shared" si="0"/>
        <v>1-RUIM</v>
      </c>
      <c r="U13" s="146">
        <f>(COUNTIFS('1-Autoavaliacao-Institucional'!F$2:F$59,1)+COUNTIFS('1-Autoavaliacao-Institucional'!F$77:F$121,1))/$A$17</f>
        <v>5.8252427184466021E-2</v>
      </c>
    </row>
    <row r="14" spans="1:26" ht="15" x14ac:dyDescent="0.25">
      <c r="D14" s="67" t="str">
        <f>$A$25</f>
        <v>1-RUIM</v>
      </c>
      <c r="E14" s="26">
        <f>'1-Autoavaliacao-Institucional'!F67</f>
        <v>3.4482758620689655E-2</v>
      </c>
      <c r="F14" s="27">
        <f>'1-Autoavaliacao-Institucional'!F132</f>
        <v>8.8888888888888892E-2</v>
      </c>
      <c r="T14" s="68" t="str">
        <f t="shared" si="0"/>
        <v>0-NÃO SE APLICA</v>
      </c>
      <c r="U14" s="147">
        <f>(COUNTIFS('1-Autoavaliacao-Institucional'!F$2:F$59,0)+COUNTIFS('1-Autoavaliacao-Institucional'!F$77:F$121,0))/$A$17</f>
        <v>0.21359223300970873</v>
      </c>
    </row>
    <row r="15" spans="1:26" ht="15.75" customHeight="1" x14ac:dyDescent="0.3">
      <c r="D15" s="68" t="str">
        <f>$A$26</f>
        <v>0-NÃO SE APLICA</v>
      </c>
      <c r="E15" s="28">
        <f>'1-Autoavaliacao-Institucional'!F68</f>
        <v>0.27586206896551724</v>
      </c>
      <c r="F15" s="29">
        <f>'1-Autoavaliacao-Institucional'!F133</f>
        <v>0.13333333333333333</v>
      </c>
      <c r="P15" s="18"/>
    </row>
    <row r="16" spans="1:26" ht="21" x14ac:dyDescent="0.4">
      <c r="A16" s="193" t="s">
        <v>315</v>
      </c>
      <c r="D16" s="35"/>
      <c r="E16" s="18"/>
      <c r="P16" s="21"/>
      <c r="T16" s="79" t="str">
        <f>T7</f>
        <v>QUESTÃO 05</v>
      </c>
      <c r="U16" s="113" t="s">
        <v>255</v>
      </c>
    </row>
    <row r="17" spans="1:26" ht="19.05" customHeight="1" x14ac:dyDescent="0.3">
      <c r="A17" s="180">
        <f>A36+A39</f>
        <v>103</v>
      </c>
      <c r="D17" s="112"/>
      <c r="E17" s="113" t="s">
        <v>245</v>
      </c>
      <c r="F17" s="113" t="s">
        <v>246</v>
      </c>
      <c r="G17" s="75" t="s">
        <v>251</v>
      </c>
      <c r="O17" s="16"/>
      <c r="P17" s="18"/>
      <c r="T17" s="109" t="str">
        <f>$A$29</f>
        <v>MUITO BOM / ÓTIMO</v>
      </c>
      <c r="U17" s="114">
        <f>U9+U10</f>
        <v>0.59223300970873782</v>
      </c>
    </row>
    <row r="18" spans="1:26" ht="18" customHeight="1" x14ac:dyDescent="0.3">
      <c r="D18" s="109" t="str">
        <f>$A$29</f>
        <v>MUITO BOM / ÓTIMO</v>
      </c>
      <c r="E18" s="98">
        <f>E10+E11</f>
        <v>0.5862068965517242</v>
      </c>
      <c r="F18" s="99">
        <f>F10+F11</f>
        <v>0.6</v>
      </c>
      <c r="G18" s="34">
        <f>(F18-E18)*100</f>
        <v>1.3793103448275779</v>
      </c>
      <c r="O18" s="16"/>
      <c r="P18" s="18"/>
      <c r="T18" s="110" t="str">
        <f>$A$30</f>
        <v>BOM</v>
      </c>
      <c r="U18" s="115">
        <f>U11</f>
        <v>0.11650485436893204</v>
      </c>
    </row>
    <row r="19" spans="1:26" ht="19.05" customHeight="1" x14ac:dyDescent="0.3">
      <c r="A19" s="205" t="s">
        <v>307</v>
      </c>
      <c r="D19" s="110" t="str">
        <f>$A$30</f>
        <v>BOM</v>
      </c>
      <c r="E19" s="100">
        <f>E12</f>
        <v>0.10344827586206896</v>
      </c>
      <c r="F19" s="101">
        <f>F12</f>
        <v>0.13333333333333333</v>
      </c>
      <c r="G19" s="34">
        <f>(F19-E19)*100</f>
        <v>2.9885057471264367</v>
      </c>
      <c r="O19" s="16"/>
      <c r="P19" s="18"/>
      <c r="T19" s="110" t="str">
        <f>$A$31</f>
        <v>RUIM / REGULAR</v>
      </c>
      <c r="U19" s="115">
        <f>U12+U13</f>
        <v>7.7669902912621352E-2</v>
      </c>
    </row>
    <row r="20" spans="1:26" ht="19.05" customHeight="1" x14ac:dyDescent="0.3">
      <c r="A20" s="206"/>
      <c r="D20" s="110" t="str">
        <f>$A$31</f>
        <v>RUIM / REGULAR</v>
      </c>
      <c r="E20" s="100">
        <f>E13+E14</f>
        <v>3.4482758620689655E-2</v>
      </c>
      <c r="F20" s="101">
        <f>F13+F14</f>
        <v>0.13333333333333333</v>
      </c>
      <c r="G20" s="34">
        <f>(F20-E20)*100</f>
        <v>9.8850574712643677</v>
      </c>
      <c r="O20" s="16"/>
      <c r="P20" s="18"/>
      <c r="T20" s="111" t="str">
        <f>$A$32</f>
        <v>NÃO SE APLICA / NÃO SEI</v>
      </c>
      <c r="U20" s="116">
        <f>U14</f>
        <v>0.21359223300970873</v>
      </c>
    </row>
    <row r="21" spans="1:26" ht="21" customHeight="1" x14ac:dyDescent="0.3">
      <c r="A21" s="181" t="s">
        <v>300</v>
      </c>
      <c r="D21" s="111" t="str">
        <f>$A$32</f>
        <v>NÃO SE APLICA / NÃO SEI</v>
      </c>
      <c r="E21" s="102">
        <f>E15</f>
        <v>0.27586206896551724</v>
      </c>
      <c r="F21" s="103">
        <f>F15</f>
        <v>0.13333333333333333</v>
      </c>
      <c r="G21" s="34">
        <f>(F21-E21)*100</f>
        <v>-14.25287356321839</v>
      </c>
      <c r="O21" s="16"/>
      <c r="P21" s="18"/>
      <c r="T21" s="105">
        <f>(SUM(U17:U20))</f>
        <v>0.99999999999999989</v>
      </c>
      <c r="U21" s="106" t="str">
        <f>IF(T21=100%, "CORRETO","ERRO")</f>
        <v>CORRETO</v>
      </c>
    </row>
    <row r="22" spans="1:26" ht="17.399999999999999" x14ac:dyDescent="0.3">
      <c r="A22" s="182" t="s">
        <v>301</v>
      </c>
      <c r="D22" s="105">
        <f>(SUM(E18:E21))</f>
        <v>1</v>
      </c>
      <c r="E22" s="106" t="str">
        <f>IF(D22=100%, "CORRETO","ERRO")</f>
        <v>CORRETO</v>
      </c>
      <c r="F22" s="106" t="str">
        <f>IF(D23=100%, "CORRETO","ERRO")</f>
        <v>CORRETO</v>
      </c>
      <c r="O22" s="16"/>
      <c r="P22" s="18"/>
    </row>
    <row r="23" spans="1:26" ht="17.399999999999999" x14ac:dyDescent="0.3">
      <c r="A23" s="182" t="s">
        <v>302</v>
      </c>
      <c r="D23" s="105">
        <f>(SUM(F18:F21))</f>
        <v>0.99999999999999989</v>
      </c>
    </row>
    <row r="24" spans="1:26" ht="20.25" customHeight="1" x14ac:dyDescent="0.3">
      <c r="A24" s="182" t="s">
        <v>299</v>
      </c>
      <c r="E24" s="22"/>
      <c r="F24" s="22"/>
      <c r="G24" s="22"/>
      <c r="H24" s="22"/>
      <c r="I24" s="22"/>
      <c r="J24" s="22"/>
      <c r="K24" s="22"/>
      <c r="L24" s="22"/>
      <c r="M24" s="22"/>
      <c r="N24" s="22"/>
      <c r="Q24" s="22"/>
      <c r="R24" s="22"/>
      <c r="S24" s="22"/>
      <c r="T24" s="73"/>
      <c r="U24" s="22"/>
      <c r="V24" s="22"/>
      <c r="W24" s="22"/>
      <c r="X24" s="22"/>
      <c r="Y24" s="22"/>
      <c r="Z24" s="22"/>
    </row>
    <row r="25" spans="1:26" ht="20.25" customHeight="1" x14ac:dyDescent="0.3">
      <c r="A25" s="182" t="s">
        <v>303</v>
      </c>
      <c r="E25" s="32" t="s">
        <v>248</v>
      </c>
      <c r="F25" s="17" t="str">
        <f>'1-Autoavaliacao-Institucional'!G1</f>
        <v>06-	O planejamento estratégico (objetivos e metas) tem sido cumprido no PGMAT ?</v>
      </c>
      <c r="Q25" s="22"/>
      <c r="R25" s="22"/>
      <c r="S25" s="22"/>
      <c r="T25" s="36" t="str">
        <f>E25</f>
        <v>QUESTÃO 06</v>
      </c>
      <c r="U25" s="117"/>
    </row>
    <row r="26" spans="1:26" ht="20.25" customHeight="1" x14ac:dyDescent="0.3">
      <c r="A26" s="183" t="s">
        <v>304</v>
      </c>
      <c r="E26" s="22"/>
      <c r="F26" s="22"/>
      <c r="G26" s="22"/>
      <c r="H26" s="22"/>
      <c r="I26" s="22"/>
      <c r="J26" s="22"/>
      <c r="K26" s="22"/>
      <c r="L26" s="22"/>
      <c r="M26" s="22"/>
      <c r="N26" s="22"/>
      <c r="Q26" s="22"/>
      <c r="R26" s="22"/>
      <c r="S26" s="22"/>
      <c r="T26" s="19"/>
      <c r="U26" s="16"/>
    </row>
    <row r="27" spans="1:26" ht="17.25" customHeight="1" x14ac:dyDescent="0.3">
      <c r="A27" s="187"/>
      <c r="E27" s="23" t="s">
        <v>245</v>
      </c>
      <c r="F27" s="23" t="s">
        <v>246</v>
      </c>
      <c r="H27" s="22"/>
      <c r="I27" s="22"/>
      <c r="J27" s="22"/>
      <c r="K27" s="22"/>
      <c r="L27" s="22"/>
      <c r="M27" s="22"/>
      <c r="N27" s="22"/>
      <c r="Q27" s="22"/>
      <c r="R27" s="22"/>
      <c r="S27" s="22"/>
      <c r="T27" s="66" t="str">
        <f t="shared" ref="T27:T32" si="1">D28</f>
        <v>5-ÓTIMO</v>
      </c>
      <c r="U27" s="145">
        <f>(COUNTIFS('1-Autoavaliacao-Institucional'!G$2:G$59,5)+COUNTIFS('1-Autoavaliacao-Institucional'!G$77:G$121,5))/$A$17</f>
        <v>0.3300970873786408</v>
      </c>
    </row>
    <row r="28" spans="1:26" ht="21" customHeight="1" thickBot="1" x14ac:dyDescent="0.4">
      <c r="A28" s="188" t="s">
        <v>316</v>
      </c>
      <c r="D28" s="66" t="str">
        <f>$A$21</f>
        <v>5-ÓTIMO</v>
      </c>
      <c r="E28" s="24">
        <f>'1-Autoavaliacao-Institucional'!G63</f>
        <v>0.31034482758620691</v>
      </c>
      <c r="F28" s="25">
        <f>'1-Autoavaliacao-Institucional'!G128</f>
        <v>0.35555555555555557</v>
      </c>
      <c r="H28" s="22"/>
      <c r="T28" s="67" t="str">
        <f t="shared" si="1"/>
        <v>4-MUITO BOM</v>
      </c>
      <c r="U28" s="146">
        <f>(COUNTIFS('1-Autoavaliacao-Institucional'!G$2:G$59,4)+COUNTIFS('1-Autoavaliacao-Institucional'!G$77:G$121,4))/$A$17</f>
        <v>0.18446601941747573</v>
      </c>
    </row>
    <row r="29" spans="1:26" ht="18" thickTop="1" x14ac:dyDescent="0.3">
      <c r="A29" s="189" t="s">
        <v>314</v>
      </c>
      <c r="D29" s="67" t="str">
        <f>$A$22</f>
        <v>4-MUITO BOM</v>
      </c>
      <c r="E29" s="26">
        <f>'1-Autoavaliacao-Institucional'!G64</f>
        <v>0.18965517241379309</v>
      </c>
      <c r="F29" s="27">
        <f>'1-Autoavaliacao-Institucional'!G129</f>
        <v>0.17777777777777778</v>
      </c>
      <c r="T29" s="67" t="str">
        <f t="shared" si="1"/>
        <v>3-BOM</v>
      </c>
      <c r="U29" s="146">
        <f>(COUNTIFS('1-Autoavaliacao-Institucional'!G$2:G$59,3)+COUNTIFS('1-Autoavaliacao-Institucional'!G$77:G$121,3))/$A$17</f>
        <v>7.7669902912621352E-2</v>
      </c>
    </row>
    <row r="30" spans="1:26" ht="17.399999999999999" x14ac:dyDescent="0.3">
      <c r="A30" s="189" t="s">
        <v>214</v>
      </c>
      <c r="D30" s="67" t="str">
        <f>$A$23</f>
        <v>3-BOM</v>
      </c>
      <c r="E30" s="26">
        <f>'1-Autoavaliacao-Institucional'!G65</f>
        <v>6.8965517241379309E-2</v>
      </c>
      <c r="F30" s="27">
        <f>'1-Autoavaliacao-Institucional'!G130</f>
        <v>8.8888888888888892E-2</v>
      </c>
      <c r="T30" s="67" t="str">
        <f t="shared" si="1"/>
        <v>2-REGULAR</v>
      </c>
      <c r="U30" s="146">
        <f>(COUNTIFS('1-Autoavaliacao-Institucional'!G$2:G$59,2)+COUNTIFS('1-Autoavaliacao-Institucional'!G$77:G$121,2))/$A$17</f>
        <v>9.7087378640776691E-3</v>
      </c>
    </row>
    <row r="31" spans="1:26" ht="17.399999999999999" x14ac:dyDescent="0.3">
      <c r="A31" s="189" t="s">
        <v>313</v>
      </c>
      <c r="D31" s="67" t="str">
        <f>$A$24</f>
        <v>2-REGULAR</v>
      </c>
      <c r="E31" s="26">
        <f>'1-Autoavaliacao-Institucional'!G66</f>
        <v>1.7241379310344827E-2</v>
      </c>
      <c r="F31" s="27">
        <f>'1-Autoavaliacao-Institucional'!G131</f>
        <v>0</v>
      </c>
      <c r="T31" s="67" t="str">
        <f t="shared" si="1"/>
        <v>1-RUIM</v>
      </c>
      <c r="U31" s="146">
        <f>(COUNTIFS('1-Autoavaliacao-Institucional'!G$2:G$59,1)+COUNTIFS('1-Autoavaliacao-Institucional'!G$77:G$121,1))/$A$17</f>
        <v>2.9126213592233011E-2</v>
      </c>
    </row>
    <row r="32" spans="1:26" ht="18" thickBot="1" x14ac:dyDescent="0.35">
      <c r="A32" s="190" t="s">
        <v>312</v>
      </c>
      <c r="D32" s="67" t="str">
        <f>$A$25</f>
        <v>1-RUIM</v>
      </c>
      <c r="E32" s="26">
        <f>'1-Autoavaliacao-Institucional'!G67</f>
        <v>3.4482758620689655E-2</v>
      </c>
      <c r="F32" s="27">
        <f>'1-Autoavaliacao-Institucional'!G132</f>
        <v>2.2222222222222223E-2</v>
      </c>
      <c r="T32" s="68" t="str">
        <f t="shared" si="1"/>
        <v>0-NÃO SE APLICA</v>
      </c>
      <c r="U32" s="147">
        <f>(COUNTIFS('1-Autoavaliacao-Institucional'!G$2:G$59,0)+COUNTIFS('1-Autoavaliacao-Institucional'!G$77:G$121,0))/$A$17</f>
        <v>0.36893203883495146</v>
      </c>
    </row>
    <row r="33" spans="1:21" ht="22.5" customHeight="1" thickTop="1" x14ac:dyDescent="0.25">
      <c r="A33" s="207" t="s">
        <v>282</v>
      </c>
      <c r="D33" s="68" t="str">
        <f>$A$26</f>
        <v>0-NÃO SE APLICA</v>
      </c>
      <c r="E33" s="28">
        <f>'1-Autoavaliacao-Institucional'!G68</f>
        <v>0.37931034482758619</v>
      </c>
      <c r="F33" s="29">
        <f>'1-Autoavaliacao-Institucional'!G133</f>
        <v>0.35555555555555557</v>
      </c>
    </row>
    <row r="34" spans="1:21" ht="18.75" customHeight="1" x14ac:dyDescent="0.3">
      <c r="A34" s="208"/>
      <c r="D34" s="35"/>
      <c r="E34" s="18"/>
      <c r="T34" s="79" t="str">
        <f>T25</f>
        <v>QUESTÃO 06</v>
      </c>
      <c r="U34" s="113" t="s">
        <v>255</v>
      </c>
    </row>
    <row r="35" spans="1:21" ht="21" x14ac:dyDescent="0.4">
      <c r="A35" s="86" t="s">
        <v>297</v>
      </c>
      <c r="D35" s="112"/>
      <c r="E35" s="113" t="s">
        <v>245</v>
      </c>
      <c r="F35" s="113" t="s">
        <v>246</v>
      </c>
      <c r="G35" s="75" t="s">
        <v>251</v>
      </c>
      <c r="T35" s="109" t="str">
        <f>$A$29</f>
        <v>MUITO BOM / ÓTIMO</v>
      </c>
      <c r="U35" s="114">
        <f>U27+U28</f>
        <v>0.5145631067961165</v>
      </c>
    </row>
    <row r="36" spans="1:21" ht="22.5" customHeight="1" x14ac:dyDescent="0.4">
      <c r="A36" s="177">
        <f>'1-Autoavaliacao-Institucional'!A71</f>
        <v>58</v>
      </c>
      <c r="D36" s="109" t="str">
        <f>$A$29</f>
        <v>MUITO BOM / ÓTIMO</v>
      </c>
      <c r="E36" s="98">
        <f>E28+E29</f>
        <v>0.5</v>
      </c>
      <c r="F36" s="99">
        <f>F28+F29</f>
        <v>0.53333333333333333</v>
      </c>
      <c r="G36" s="34">
        <f>(F36-E36)*100</f>
        <v>3.3333333333333326</v>
      </c>
      <c r="T36" s="110" t="str">
        <f>$A$30</f>
        <v>BOM</v>
      </c>
      <c r="U36" s="115">
        <f>U29</f>
        <v>7.7669902912621352E-2</v>
      </c>
    </row>
    <row r="37" spans="1:21" ht="17.399999999999999" x14ac:dyDescent="0.3">
      <c r="A37" s="140">
        <f>A36/(A36+A39)</f>
        <v>0.56310679611650483</v>
      </c>
      <c r="B37" s="97" t="s">
        <v>245</v>
      </c>
      <c r="D37" s="110" t="str">
        <f>$A$30</f>
        <v>BOM</v>
      </c>
      <c r="E37" s="100">
        <f>E30</f>
        <v>6.8965517241379309E-2</v>
      </c>
      <c r="F37" s="101">
        <f>F30</f>
        <v>8.8888888888888892E-2</v>
      </c>
      <c r="G37" s="34">
        <f>(F37-E37)*100</f>
        <v>1.9923371647509582</v>
      </c>
      <c r="T37" s="110" t="str">
        <f>$A$31</f>
        <v>RUIM / REGULAR</v>
      </c>
      <c r="U37" s="115">
        <f>U30+U31</f>
        <v>3.8834951456310676E-2</v>
      </c>
    </row>
    <row r="38" spans="1:21" ht="21" x14ac:dyDescent="0.4">
      <c r="A38" s="86" t="s">
        <v>298</v>
      </c>
      <c r="D38" s="110" t="str">
        <f>$A$31</f>
        <v>RUIM / REGULAR</v>
      </c>
      <c r="E38" s="100">
        <f>E31+E32</f>
        <v>5.1724137931034482E-2</v>
      </c>
      <c r="F38" s="101">
        <f>F31+F32</f>
        <v>2.2222222222222223E-2</v>
      </c>
      <c r="G38" s="34">
        <f>(F38-E38)*100</f>
        <v>-2.9501915708812261</v>
      </c>
      <c r="P38" s="18"/>
      <c r="T38" s="111" t="str">
        <f>$A$32</f>
        <v>NÃO SE APLICA / NÃO SEI</v>
      </c>
      <c r="U38" s="116">
        <f>U32</f>
        <v>0.36893203883495146</v>
      </c>
    </row>
    <row r="39" spans="1:21" ht="22.05" customHeight="1" x14ac:dyDescent="0.4">
      <c r="A39" s="177">
        <f>'1-Autoavaliacao-Institucional'!A136</f>
        <v>45</v>
      </c>
      <c r="C39" s="137"/>
      <c r="D39" s="111" t="str">
        <f>$A$32</f>
        <v>NÃO SE APLICA / NÃO SEI</v>
      </c>
      <c r="E39" s="102">
        <f>E33</f>
        <v>0.37931034482758619</v>
      </c>
      <c r="F39" s="103">
        <f>F33</f>
        <v>0.35555555555555557</v>
      </c>
      <c r="G39" s="34">
        <f>(F39-E39)*100</f>
        <v>-2.3754789272030621</v>
      </c>
      <c r="P39" s="21"/>
      <c r="T39" s="105">
        <f>(SUM(U35:U38))</f>
        <v>1</v>
      </c>
      <c r="U39" s="106" t="str">
        <f>IF(T39=100%, "CORRETO","ERRO")</f>
        <v>CORRETO</v>
      </c>
    </row>
    <row r="40" spans="1:21" ht="17.399999999999999" x14ac:dyDescent="0.3">
      <c r="A40" s="140">
        <f>A39/(A36+A39)</f>
        <v>0.43689320388349512</v>
      </c>
      <c r="B40" s="97" t="s">
        <v>246</v>
      </c>
      <c r="C40" s="137"/>
      <c r="D40" s="105">
        <f>(SUM(E36:E39))</f>
        <v>1</v>
      </c>
      <c r="E40" s="106" t="str">
        <f>IF(D40=100%, "CORRETO","ERRO")</f>
        <v>CORRETO</v>
      </c>
      <c r="F40" s="106" t="str">
        <f>IF(D41=100%, "CORRETO","ERRO")</f>
        <v>CORRETO</v>
      </c>
      <c r="O40" s="16"/>
      <c r="P40" s="18"/>
    </row>
    <row r="41" spans="1:21" ht="24" customHeight="1" x14ac:dyDescent="0.3">
      <c r="C41" s="137"/>
      <c r="D41" s="105">
        <f>(SUM(F36:F39))</f>
        <v>1</v>
      </c>
      <c r="O41" s="16"/>
      <c r="P41" s="18"/>
    </row>
    <row r="42" spans="1:21" ht="15.6" x14ac:dyDescent="0.3">
      <c r="D42" s="105">
        <f>(SUM(F36:F38))</f>
        <v>0.64444444444444449</v>
      </c>
      <c r="E42" s="18"/>
      <c r="O42" s="16"/>
      <c r="P42" s="18"/>
    </row>
    <row r="43" spans="1:21" ht="18" customHeight="1" x14ac:dyDescent="0.3">
      <c r="E43" s="32" t="s">
        <v>249</v>
      </c>
      <c r="F43" s="17" t="str">
        <f>'1-Autoavaliacao-Institucional'!H1</f>
        <v>07-	Os resultados das autoavaliações têm sido discutidos no âmbito do PGMAT?</v>
      </c>
      <c r="Q43" s="22"/>
      <c r="R43" s="22"/>
      <c r="S43" s="22"/>
      <c r="T43" s="36" t="str">
        <f>E43</f>
        <v>QUESTÃO 07</v>
      </c>
      <c r="U43" s="117" t="s">
        <v>255</v>
      </c>
    </row>
    <row r="44" spans="1:21" ht="15.75" customHeight="1" x14ac:dyDescent="0.25">
      <c r="E44" s="22"/>
      <c r="F44" s="22"/>
      <c r="G44" s="22"/>
      <c r="H44" s="22"/>
      <c r="I44" s="22"/>
      <c r="J44" s="22"/>
      <c r="K44" s="22"/>
      <c r="L44" s="22"/>
      <c r="M44" s="22"/>
      <c r="N44" s="22"/>
      <c r="Q44" s="22"/>
      <c r="R44" s="22"/>
      <c r="S44" s="22"/>
      <c r="T44" s="19"/>
      <c r="U44" s="16"/>
    </row>
    <row r="45" spans="1:21" ht="15" customHeight="1" x14ac:dyDescent="0.3">
      <c r="E45" s="23" t="s">
        <v>245</v>
      </c>
      <c r="F45" s="23" t="s">
        <v>246</v>
      </c>
      <c r="H45" s="22"/>
      <c r="I45" s="22"/>
      <c r="J45" s="22"/>
      <c r="K45" s="22"/>
      <c r="L45" s="22"/>
      <c r="M45" s="22"/>
      <c r="N45" s="22"/>
      <c r="Q45" s="22"/>
      <c r="R45" s="22"/>
      <c r="S45" s="22"/>
      <c r="T45" s="76" t="str">
        <f t="shared" ref="T45:T50" si="2">D46</f>
        <v>5-ÓTIMO</v>
      </c>
      <c r="U45" s="149">
        <f>(COUNTIFS('1-Autoavaliacao-Institucional'!H$2:H$59,5)+COUNTIFS('1-Autoavaliacao-Institucional'!H$77:H$121,5))/$A$17</f>
        <v>0.1553398058252427</v>
      </c>
    </row>
    <row r="46" spans="1:21" ht="15.75" customHeight="1" x14ac:dyDescent="0.25">
      <c r="D46" s="66" t="str">
        <f>$A$21</f>
        <v>5-ÓTIMO</v>
      </c>
      <c r="E46" s="69">
        <f>'1-Autoavaliacao-Institucional'!H63</f>
        <v>0.1206896551724138</v>
      </c>
      <c r="F46" s="25">
        <f>'1-Autoavaliacao-Institucional'!H128</f>
        <v>0.2</v>
      </c>
      <c r="H46" s="22"/>
      <c r="T46" s="77" t="str">
        <f t="shared" si="2"/>
        <v>4-MUITO BOM</v>
      </c>
      <c r="U46" s="150">
        <f>(COUNTIFS('1-Autoavaliacao-Institucional'!H$2:H$59,4)+COUNTIFS('1-Autoavaliacao-Institucional'!H$77:H$121,4))/$A$17</f>
        <v>0.21359223300970873</v>
      </c>
    </row>
    <row r="47" spans="1:21" ht="15" x14ac:dyDescent="0.25">
      <c r="D47" s="67" t="str">
        <f>$A$22</f>
        <v>4-MUITO BOM</v>
      </c>
      <c r="E47" s="70">
        <f>'1-Autoavaliacao-Institucional'!H64</f>
        <v>0.20689655172413793</v>
      </c>
      <c r="F47" s="27">
        <f>'1-Autoavaliacao-Institucional'!H129</f>
        <v>0.22222222222222221</v>
      </c>
      <c r="T47" s="77" t="str">
        <f t="shared" si="2"/>
        <v>3-BOM</v>
      </c>
      <c r="U47" s="150">
        <f>(COUNTIFS('1-Autoavaliacao-Institucional'!H$2:H$59,3)+COUNTIFS('1-Autoavaliacao-Institucional'!H$77:H$121,3))/$A$17</f>
        <v>9.7087378640776698E-2</v>
      </c>
    </row>
    <row r="48" spans="1:21" ht="15" x14ac:dyDescent="0.25">
      <c r="D48" s="67" t="str">
        <f>$A$23</f>
        <v>3-BOM</v>
      </c>
      <c r="E48" s="70">
        <f>'1-Autoavaliacao-Institucional'!H65</f>
        <v>6.8965517241379309E-2</v>
      </c>
      <c r="F48" s="27">
        <f>'1-Autoavaliacao-Institucional'!H130</f>
        <v>0.13333333333333333</v>
      </c>
      <c r="T48" s="77" t="str">
        <f t="shared" si="2"/>
        <v>2-REGULAR</v>
      </c>
      <c r="U48" s="150">
        <f>(COUNTIFS('1-Autoavaliacao-Institucional'!H$2:H$59,2)+COUNTIFS('1-Autoavaliacao-Institucional'!H$77:H$121,2))/$A$17</f>
        <v>6.7961165048543687E-2</v>
      </c>
    </row>
    <row r="49" spans="1:21" ht="15" x14ac:dyDescent="0.25">
      <c r="D49" s="67" t="str">
        <f>$A$24</f>
        <v>2-REGULAR</v>
      </c>
      <c r="E49" s="70">
        <f>'1-Autoavaliacao-Institucional'!H66</f>
        <v>5.1724137931034482E-2</v>
      </c>
      <c r="F49" s="27">
        <f>'1-Autoavaliacao-Institucional'!H131</f>
        <v>8.8888888888888892E-2</v>
      </c>
      <c r="T49" s="77" t="str">
        <f t="shared" si="2"/>
        <v>1-RUIM</v>
      </c>
      <c r="U49" s="150">
        <f>(COUNTIFS('1-Autoavaliacao-Institucional'!H$2:H$59,1)+COUNTIFS('1-Autoavaliacao-Institucional'!H$77:H$121,1))/$A$17</f>
        <v>6.7961165048543687E-2</v>
      </c>
    </row>
    <row r="50" spans="1:21" ht="15" x14ac:dyDescent="0.25">
      <c r="D50" s="67" t="str">
        <f>$A$25</f>
        <v>1-RUIM</v>
      </c>
      <c r="E50" s="70">
        <f>'1-Autoavaliacao-Institucional'!H67</f>
        <v>8.6206896551724144E-2</v>
      </c>
      <c r="F50" s="27">
        <f>'1-Autoavaliacao-Institucional'!H132</f>
        <v>4.4444444444444446E-2</v>
      </c>
      <c r="T50" s="78" t="str">
        <f t="shared" si="2"/>
        <v>0-NÃO SE APLICA</v>
      </c>
      <c r="U50" s="151">
        <f>(COUNTIFS('1-Autoavaliacao-Institucional'!H$2:H$59,0)+COUNTIFS('1-Autoavaliacao-Institucional'!H$77:H$121,0))/$A$17</f>
        <v>0.39805825242718446</v>
      </c>
    </row>
    <row r="51" spans="1:21" ht="15" x14ac:dyDescent="0.25">
      <c r="D51" s="68" t="str">
        <f>$A$26</f>
        <v>0-NÃO SE APLICA</v>
      </c>
      <c r="E51" s="71">
        <f>'1-Autoavaliacao-Institucional'!H68</f>
        <v>0.46551724137931033</v>
      </c>
      <c r="F51" s="29">
        <f>'1-Autoavaliacao-Institucional'!H133</f>
        <v>0.31111111111111112</v>
      </c>
    </row>
    <row r="52" spans="1:21" ht="15.6" x14ac:dyDescent="0.3">
      <c r="D52" s="35"/>
      <c r="E52" s="18"/>
      <c r="T52" s="79" t="str">
        <f>T43</f>
        <v>QUESTÃO 07</v>
      </c>
      <c r="U52" s="113" t="s">
        <v>255</v>
      </c>
    </row>
    <row r="53" spans="1:21" ht="15.6" x14ac:dyDescent="0.3">
      <c r="D53" s="112"/>
      <c r="E53" s="113" t="s">
        <v>245</v>
      </c>
      <c r="F53" s="113" t="s">
        <v>246</v>
      </c>
      <c r="G53" s="75" t="s">
        <v>251</v>
      </c>
      <c r="T53" s="109" t="str">
        <f>$A$29</f>
        <v>MUITO BOM / ÓTIMO</v>
      </c>
      <c r="U53" s="114">
        <f>U45+U46</f>
        <v>0.3689320388349514</v>
      </c>
    </row>
    <row r="54" spans="1:21" ht="15.6" x14ac:dyDescent="0.3">
      <c r="D54" s="109" t="str">
        <f>$A$29</f>
        <v>MUITO BOM / ÓTIMO</v>
      </c>
      <c r="E54" s="98">
        <f>E46+E47</f>
        <v>0.32758620689655171</v>
      </c>
      <c r="F54" s="99">
        <f>F46+F47</f>
        <v>0.42222222222222222</v>
      </c>
      <c r="G54" s="34">
        <f>(F54-E54)*100</f>
        <v>9.4636015325670506</v>
      </c>
      <c r="T54" s="110" t="str">
        <f>$A$30</f>
        <v>BOM</v>
      </c>
      <c r="U54" s="115">
        <f>U47</f>
        <v>9.7087378640776698E-2</v>
      </c>
    </row>
    <row r="55" spans="1:21" ht="15.6" x14ac:dyDescent="0.3">
      <c r="A55" s="194">
        <f>((A39*1)/A36)-1</f>
        <v>-0.22413793103448276</v>
      </c>
      <c r="D55" s="110" t="str">
        <f>$A$30</f>
        <v>BOM</v>
      </c>
      <c r="E55" s="100">
        <f>E48</f>
        <v>6.8965517241379309E-2</v>
      </c>
      <c r="F55" s="101">
        <f>F48</f>
        <v>0.13333333333333333</v>
      </c>
      <c r="G55" s="34">
        <f>(F55-E55)*100</f>
        <v>6.4367816091954024</v>
      </c>
      <c r="T55" s="110" t="str">
        <f>$A$31</f>
        <v>RUIM / REGULAR</v>
      </c>
      <c r="U55" s="115">
        <f>U48+U49</f>
        <v>0.13592233009708737</v>
      </c>
    </row>
    <row r="56" spans="1:21" ht="15.6" x14ac:dyDescent="0.3">
      <c r="A56" s="195"/>
      <c r="D56" s="110" t="str">
        <f>$A$31</f>
        <v>RUIM / REGULAR</v>
      </c>
      <c r="E56" s="100">
        <f>E49+E50</f>
        <v>0.13793103448275862</v>
      </c>
      <c r="F56" s="101">
        <f>F49+F50</f>
        <v>0.13333333333333333</v>
      </c>
      <c r="G56" s="34">
        <f>(F56-E56)*100</f>
        <v>-0.45977011494252873</v>
      </c>
      <c r="P56" s="18"/>
      <c r="T56" s="111" t="str">
        <f>$A$32</f>
        <v>NÃO SE APLICA / NÃO SEI</v>
      </c>
      <c r="U56" s="116">
        <f>U50</f>
        <v>0.39805825242718446</v>
      </c>
    </row>
    <row r="57" spans="1:21" ht="15.6" x14ac:dyDescent="0.3">
      <c r="D57" s="111" t="str">
        <f>$A$32</f>
        <v>NÃO SE APLICA / NÃO SEI</v>
      </c>
      <c r="E57" s="102">
        <f>E51</f>
        <v>0.46551724137931033</v>
      </c>
      <c r="F57" s="103">
        <f>F51</f>
        <v>0.31111111111111112</v>
      </c>
      <c r="G57" s="34">
        <f>(F57-E57)*100</f>
        <v>-15.440613026819921</v>
      </c>
      <c r="P57" s="21"/>
      <c r="T57" s="105">
        <f>(SUM(U53:U56))</f>
        <v>1</v>
      </c>
      <c r="U57" s="106" t="str">
        <f>IF(T57=100%, "CORRETO","ERRO")</f>
        <v>CORRETO</v>
      </c>
    </row>
    <row r="58" spans="1:21" ht="20.399999999999999" x14ac:dyDescent="0.35">
      <c r="A58" s="135" t="s">
        <v>306</v>
      </c>
      <c r="D58" s="105">
        <f>(SUM(E54:E57))</f>
        <v>1</v>
      </c>
      <c r="E58" s="106" t="str">
        <f>IF(D58=100%, "CORRETO","ERRO")</f>
        <v>CORRETO</v>
      </c>
      <c r="F58" s="106" t="str">
        <f>IF(D59=100%, "CORRETO","ERRO")</f>
        <v>CORRETO</v>
      </c>
      <c r="O58" s="16"/>
      <c r="P58" s="18"/>
    </row>
    <row r="59" spans="1:21" ht="15.6" x14ac:dyDescent="0.3">
      <c r="D59" s="105">
        <f>(SUM(F54:F57))</f>
        <v>1</v>
      </c>
      <c r="O59" s="16"/>
      <c r="P59" s="18"/>
    </row>
    <row r="60" spans="1:21" ht="15.6" x14ac:dyDescent="0.3">
      <c r="A60" s="54" t="s">
        <v>283</v>
      </c>
      <c r="B60" s="52">
        <f>COUNTIF('1-Autoavaliacao-Institucional'!C$2:C$61,"Cerâmica")+COUNTIF('1-Autoavaliacao-Institucional'!C$77:C$123,"Cerâmica")</f>
        <v>37</v>
      </c>
      <c r="C60" s="138">
        <f>B60/$B$63</f>
        <v>0.35922330097087379</v>
      </c>
      <c r="O60" s="16"/>
      <c r="P60" s="18"/>
    </row>
    <row r="61" spans="1:21" ht="18" customHeight="1" x14ac:dyDescent="0.3">
      <c r="A61" s="54" t="s">
        <v>284</v>
      </c>
      <c r="B61" s="52">
        <f>COUNTIF('1-Autoavaliacao-Institucional'!C$2:C$61,"Metais")+COUNTIF('1-Autoavaliacao-Institucional'!C$77:C$123,"Metais")</f>
        <v>49</v>
      </c>
      <c r="C61" s="138">
        <f>B61/$B$63</f>
        <v>0.47572815533980584</v>
      </c>
      <c r="E61" s="32" t="s">
        <v>250</v>
      </c>
      <c r="F61" s="17" t="str">
        <f>'1-Autoavaliacao-Institucional'!I1</f>
        <v>08-	O PGMAT tem contribuído para o desenvolvimento da Missão da UFSC ?</v>
      </c>
      <c r="Q61" s="22"/>
      <c r="R61" s="22"/>
      <c r="S61" s="22"/>
      <c r="T61" s="36" t="str">
        <f>E61</f>
        <v>QUESTÃO 08</v>
      </c>
      <c r="U61" s="117"/>
    </row>
    <row r="62" spans="1:21" ht="15" customHeight="1" x14ac:dyDescent="0.25">
      <c r="A62" s="54" t="s">
        <v>285</v>
      </c>
      <c r="B62" s="52">
        <f>COUNTIF('1-Autoavaliacao-Institucional'!C$2:C$61,"Polímeros")+COUNTIF('1-Autoavaliacao-Institucional'!C$77:C$123,"Polímeros")</f>
        <v>17</v>
      </c>
      <c r="C62" s="138">
        <f>B62/$B$63</f>
        <v>0.1650485436893204</v>
      </c>
      <c r="E62" s="22"/>
      <c r="F62" s="22"/>
      <c r="G62" s="22"/>
      <c r="H62" s="22"/>
      <c r="I62" s="22"/>
      <c r="J62" s="22"/>
      <c r="K62" s="22"/>
      <c r="L62" s="22"/>
      <c r="M62" s="22"/>
      <c r="N62" s="22"/>
      <c r="Q62" s="22"/>
      <c r="R62" s="22"/>
      <c r="S62" s="22"/>
      <c r="T62" s="19"/>
      <c r="U62" s="16"/>
    </row>
    <row r="63" spans="1:21" ht="15" customHeight="1" x14ac:dyDescent="0.3">
      <c r="B63" s="62">
        <f>SUM(B60:B62)</f>
        <v>103</v>
      </c>
      <c r="C63" s="139"/>
      <c r="E63" s="23" t="s">
        <v>245</v>
      </c>
      <c r="F63" s="23" t="s">
        <v>246</v>
      </c>
      <c r="H63" s="22"/>
      <c r="I63" s="22"/>
      <c r="J63" s="22"/>
      <c r="K63" s="22"/>
      <c r="L63" s="22"/>
      <c r="M63" s="22"/>
      <c r="N63" s="22"/>
      <c r="Q63" s="22"/>
      <c r="R63" s="22"/>
      <c r="S63" s="22"/>
      <c r="T63" s="76" t="str">
        <f t="shared" ref="T63:T68" si="3">D64</f>
        <v>5-ÓTIMO</v>
      </c>
      <c r="U63" s="149">
        <f>(COUNTIFS('1-Autoavaliacao-Institucional'!I$2:I$59,5)+COUNTIFS('1-Autoavaliacao-Institucional'!I$77:I$121,5))/$A$17</f>
        <v>0.69902912621359226</v>
      </c>
    </row>
    <row r="64" spans="1:21" ht="19.5" customHeight="1" x14ac:dyDescent="0.25">
      <c r="B64" s="61" t="str">
        <f>IF(B63=A17,"Verificado!","ERRO!")</f>
        <v>Verificado!</v>
      </c>
      <c r="D64" s="66" t="str">
        <f>$A$21</f>
        <v>5-ÓTIMO</v>
      </c>
      <c r="E64" s="24">
        <f>'1-Autoavaliacao-Institucional'!I63</f>
        <v>0.67241379310344829</v>
      </c>
      <c r="F64" s="25">
        <f>'1-Autoavaliacao-Institucional'!I128</f>
        <v>0.73333333333333328</v>
      </c>
      <c r="H64" s="22"/>
      <c r="T64" s="77" t="str">
        <f t="shared" si="3"/>
        <v>4-MUITO BOM</v>
      </c>
      <c r="U64" s="150">
        <f>(COUNTIFS('1-Autoavaliacao-Institucional'!I$2:I$59,4)+COUNTIFS('1-Autoavaliacao-Institucional'!I$77:I$121,4))/$A$17</f>
        <v>0.14563106796116504</v>
      </c>
    </row>
    <row r="65" spans="1:21" ht="15" x14ac:dyDescent="0.25">
      <c r="D65" s="67" t="str">
        <f>$A$22</f>
        <v>4-MUITO BOM</v>
      </c>
      <c r="E65" s="26">
        <f>'1-Autoavaliacao-Institucional'!I64</f>
        <v>0.13793103448275862</v>
      </c>
      <c r="F65" s="27">
        <f>'1-Autoavaliacao-Institucional'!I129</f>
        <v>0.15555555555555556</v>
      </c>
      <c r="T65" s="77" t="str">
        <f t="shared" si="3"/>
        <v>3-BOM</v>
      </c>
      <c r="U65" s="150">
        <f>(COUNTIFS('1-Autoavaliacao-Institucional'!I$2:I$59,3)+COUNTIFS('1-Autoavaliacao-Institucional'!I$77:I$121,3))/$A$17</f>
        <v>2.9126213592233011E-2</v>
      </c>
    </row>
    <row r="66" spans="1:21" ht="15" x14ac:dyDescent="0.25">
      <c r="A66" s="108"/>
      <c r="D66" s="67" t="str">
        <f>$A$23</f>
        <v>3-BOM</v>
      </c>
      <c r="E66" s="26">
        <f>'1-Autoavaliacao-Institucional'!I65</f>
        <v>3.4482758620689655E-2</v>
      </c>
      <c r="F66" s="27">
        <f>'1-Autoavaliacao-Institucional'!I130</f>
        <v>2.2222222222222223E-2</v>
      </c>
      <c r="T66" s="77" t="str">
        <f t="shared" si="3"/>
        <v>2-REGULAR</v>
      </c>
      <c r="U66" s="150">
        <f>(COUNTIFS('1-Autoavaliacao-Institucional'!I$2:I$59,2)+COUNTIFS('1-Autoavaliacao-Institucional'!I$77:I$121,2))/$A$17</f>
        <v>9.7087378640776691E-3</v>
      </c>
    </row>
    <row r="67" spans="1:21" ht="15" x14ac:dyDescent="0.25">
      <c r="D67" s="67" t="str">
        <f>$A$24</f>
        <v>2-REGULAR</v>
      </c>
      <c r="E67" s="26">
        <f>'1-Autoavaliacao-Institucional'!I66</f>
        <v>0</v>
      </c>
      <c r="F67" s="27">
        <f>'1-Autoavaliacao-Institucional'!I131</f>
        <v>2.2222222222222223E-2</v>
      </c>
      <c r="T67" s="77" t="str">
        <f t="shared" si="3"/>
        <v>1-RUIM</v>
      </c>
      <c r="U67" s="150">
        <f>(COUNTIFS('1-Autoavaliacao-Institucional'!I$2:I$59,1)+COUNTIFS('1-Autoavaliacao-Institucional'!I$77:I$121,1))/$A$17</f>
        <v>9.7087378640776691E-3</v>
      </c>
    </row>
    <row r="68" spans="1:21" ht="15" x14ac:dyDescent="0.25">
      <c r="D68" s="67" t="str">
        <f>$A$25</f>
        <v>1-RUIM</v>
      </c>
      <c r="E68" s="26">
        <f>'1-Autoavaliacao-Institucional'!I67</f>
        <v>1.7241379310344827E-2</v>
      </c>
      <c r="F68" s="27">
        <f>'1-Autoavaliacao-Institucional'!I132</f>
        <v>0</v>
      </c>
      <c r="T68" s="78" t="str">
        <f t="shared" si="3"/>
        <v>0-NÃO SE APLICA</v>
      </c>
      <c r="U68" s="151">
        <f>(COUNTIFS('1-Autoavaliacao-Institucional'!I$2:I$59,0)+COUNTIFS('1-Autoavaliacao-Institucional'!I$77:I$121,0))/$A$17</f>
        <v>0.10679611650485436</v>
      </c>
    </row>
    <row r="69" spans="1:21" ht="15" x14ac:dyDescent="0.25">
      <c r="D69" s="68" t="str">
        <f>$A$26</f>
        <v>0-NÃO SE APLICA</v>
      </c>
      <c r="E69" s="28">
        <f>'1-Autoavaliacao-Institucional'!I68</f>
        <v>0.13793103448275862</v>
      </c>
      <c r="F69" s="29">
        <f>'1-Autoavaliacao-Institucional'!I133</f>
        <v>6.6666666666666666E-2</v>
      </c>
    </row>
    <row r="70" spans="1:21" ht="15.6" x14ac:dyDescent="0.3">
      <c r="D70" s="35"/>
      <c r="E70" s="18"/>
      <c r="T70" s="79" t="str">
        <f>T61</f>
        <v>QUESTÃO 08</v>
      </c>
      <c r="U70" s="113" t="s">
        <v>255</v>
      </c>
    </row>
    <row r="71" spans="1:21" ht="15.6" x14ac:dyDescent="0.3">
      <c r="D71" s="112"/>
      <c r="E71" s="113" t="s">
        <v>245</v>
      </c>
      <c r="F71" s="113" t="s">
        <v>246</v>
      </c>
      <c r="G71" s="75" t="s">
        <v>251</v>
      </c>
      <c r="T71" s="109" t="str">
        <f>$A$29</f>
        <v>MUITO BOM / ÓTIMO</v>
      </c>
      <c r="U71" s="114">
        <f>U63+U64</f>
        <v>0.84466019417475735</v>
      </c>
    </row>
    <row r="72" spans="1:21" ht="15.6" x14ac:dyDescent="0.3">
      <c r="D72" s="109" t="str">
        <f>$A$29</f>
        <v>MUITO BOM / ÓTIMO</v>
      </c>
      <c r="E72" s="98">
        <f>E64+E65</f>
        <v>0.81034482758620685</v>
      </c>
      <c r="F72" s="99">
        <f>F64+F65</f>
        <v>0.88888888888888884</v>
      </c>
      <c r="G72" s="34">
        <f>(F72-E72)*100</f>
        <v>7.8544061302681989</v>
      </c>
      <c r="T72" s="110" t="str">
        <f>$A$30</f>
        <v>BOM</v>
      </c>
      <c r="U72" s="115">
        <f>U65</f>
        <v>2.9126213592233011E-2</v>
      </c>
    </row>
    <row r="73" spans="1:21" ht="15.6" x14ac:dyDescent="0.3">
      <c r="D73" s="110" t="str">
        <f>$A$30</f>
        <v>BOM</v>
      </c>
      <c r="E73" s="100">
        <f>E66</f>
        <v>3.4482758620689655E-2</v>
      </c>
      <c r="F73" s="101">
        <f>F66</f>
        <v>2.2222222222222223E-2</v>
      </c>
      <c r="G73" s="34">
        <f>(F73-E73)*100</f>
        <v>-1.2260536398467432</v>
      </c>
      <c r="T73" s="110" t="str">
        <f>$A$31</f>
        <v>RUIM / REGULAR</v>
      </c>
      <c r="U73" s="115">
        <f>U66+U67</f>
        <v>1.9417475728155338E-2</v>
      </c>
    </row>
    <row r="74" spans="1:21" ht="15.6" x14ac:dyDescent="0.3">
      <c r="D74" s="110" t="str">
        <f>$A$31</f>
        <v>RUIM / REGULAR</v>
      </c>
      <c r="E74" s="100">
        <f>E67+E68</f>
        <v>1.7241379310344827E-2</v>
      </c>
      <c r="F74" s="101">
        <f>F67+F68</f>
        <v>2.2222222222222223E-2</v>
      </c>
      <c r="G74" s="34">
        <f>(F74-E74)*100</f>
        <v>0.49808429118773956</v>
      </c>
      <c r="P74" s="18"/>
      <c r="T74" s="111" t="str">
        <f>$A$32</f>
        <v>NÃO SE APLICA / NÃO SEI</v>
      </c>
      <c r="U74" s="116">
        <f>U68</f>
        <v>0.10679611650485436</v>
      </c>
    </row>
    <row r="75" spans="1:21" ht="15.6" x14ac:dyDescent="0.3">
      <c r="D75" s="111" t="str">
        <f>$A$32</f>
        <v>NÃO SE APLICA / NÃO SEI</v>
      </c>
      <c r="E75" s="102">
        <f>E69</f>
        <v>0.13793103448275862</v>
      </c>
      <c r="F75" s="103">
        <f>F69</f>
        <v>6.6666666666666666E-2</v>
      </c>
      <c r="G75" s="34">
        <f>(F75-E75)*100</f>
        <v>-7.1264367816091951</v>
      </c>
      <c r="P75" s="21"/>
      <c r="T75" s="105">
        <f>(SUM(U71:U74))</f>
        <v>1</v>
      </c>
      <c r="U75" s="106" t="str">
        <f>IF(T75=100%, "CORRETO","ERRO")</f>
        <v>CORRETO</v>
      </c>
    </row>
    <row r="76" spans="1:21" ht="15.6" x14ac:dyDescent="0.3">
      <c r="D76" s="105">
        <f>(SUM(E72:E75))</f>
        <v>1</v>
      </c>
      <c r="E76" s="106" t="str">
        <f>IF(D76=100%, "CORRETO","ERRO")</f>
        <v>CORRETO</v>
      </c>
      <c r="F76" s="106" t="str">
        <f>IF(D77=100%, "CORRETO","ERRO")</f>
        <v>CORRETO</v>
      </c>
      <c r="O76" s="16"/>
      <c r="P76" s="18"/>
    </row>
    <row r="77" spans="1:21" ht="17.399999999999999" x14ac:dyDescent="0.3">
      <c r="A77" s="152" t="s">
        <v>309</v>
      </c>
      <c r="D77" s="105">
        <f>(SUM(F72:F75))</f>
        <v>1</v>
      </c>
      <c r="O77" s="16"/>
      <c r="P77" s="18"/>
    </row>
    <row r="79" spans="1:21" ht="15.6" x14ac:dyDescent="0.3">
      <c r="A79" s="16">
        <v>2020</v>
      </c>
      <c r="B79" s="94">
        <f>COUNTIF('1-Autoavaliacao-Institucional'!D$2:D$61,"2020")+COUNTIF('1-Autoavaliacao-Institucional'!D$77:D$123,"2020")</f>
        <v>6</v>
      </c>
    </row>
    <row r="80" spans="1:21" ht="15.6" x14ac:dyDescent="0.3">
      <c r="A80" s="16">
        <v>2019</v>
      </c>
      <c r="B80" s="95">
        <f>COUNTIF('1-Autoavaliacao-Institucional'!D$2:D$61,"2019")+COUNTIF('1-Autoavaliacao-Institucional'!D$77:D$123,"2019")</f>
        <v>5</v>
      </c>
    </row>
    <row r="81" spans="1:21" ht="15.6" x14ac:dyDescent="0.3">
      <c r="A81" s="16">
        <v>2018</v>
      </c>
      <c r="B81" s="95">
        <f>COUNTIF('1-Autoavaliacao-Institucional'!D$2:D$61,"2018")+COUNTIF('1-Autoavaliacao-Institucional'!D$77:D$123,"2018")</f>
        <v>3</v>
      </c>
    </row>
    <row r="82" spans="1:21" ht="18" customHeight="1" x14ac:dyDescent="0.3">
      <c r="A82" s="16">
        <v>2017</v>
      </c>
      <c r="B82" s="95">
        <f>COUNTIF('1-Autoavaliacao-Institucional'!D$2:D$61,"2017")+COUNTIF('1-Autoavaliacao-Institucional'!D$77:D$123,"2017")</f>
        <v>5</v>
      </c>
      <c r="E82" s="32" t="s">
        <v>252</v>
      </c>
      <c r="F82" s="17" t="str">
        <f>'1-Autoavaliacao-Institucional'!J1</f>
        <v>09-	O PGMAT tem contribuído para a inclusão social ?</v>
      </c>
      <c r="Q82" s="22"/>
      <c r="R82" s="22"/>
      <c r="S82" s="22"/>
      <c r="T82" s="36" t="str">
        <f>E82</f>
        <v>QUESTÃO 09</v>
      </c>
      <c r="U82" s="117"/>
    </row>
    <row r="83" spans="1:21" ht="18.75" customHeight="1" x14ac:dyDescent="0.3">
      <c r="A83" s="19" t="s">
        <v>190</v>
      </c>
      <c r="B83" s="95">
        <f>COUNTIF('1-Autoavaliacao-Institucional'!D$2:D$61,"Anterior a 2017")+COUNTIF('1-Autoavaliacao-Institucional'!D$77:D$123,"Anterior a 2017")</f>
        <v>25</v>
      </c>
      <c r="E83" s="22"/>
      <c r="F83" s="22"/>
      <c r="G83" s="22"/>
      <c r="H83" s="22"/>
      <c r="I83" s="22"/>
      <c r="J83" s="22"/>
      <c r="K83" s="22"/>
      <c r="L83" s="22"/>
      <c r="M83" s="22"/>
      <c r="N83" s="22"/>
      <c r="Q83" s="22"/>
      <c r="R83" s="22"/>
      <c r="S83" s="22"/>
      <c r="T83" s="19"/>
      <c r="U83" s="16"/>
    </row>
    <row r="84" spans="1:21" ht="18.75" customHeight="1" x14ac:dyDescent="0.3">
      <c r="A84" s="19" t="s">
        <v>185</v>
      </c>
      <c r="B84" s="96">
        <f>COUNTIF('1-Autoavaliacao-Institucional'!D$2:D$61,"Não se aplica")+COUNTIF('1-Autoavaliacao-Institucional'!D$77:D$123,"Não se aplica")</f>
        <v>59</v>
      </c>
      <c r="E84" s="23" t="s">
        <v>245</v>
      </c>
      <c r="F84" s="23" t="s">
        <v>246</v>
      </c>
      <c r="H84" s="22"/>
      <c r="I84" s="22"/>
      <c r="J84" s="22"/>
      <c r="K84" s="22"/>
      <c r="L84" s="22"/>
      <c r="M84" s="22"/>
      <c r="N84" s="22"/>
      <c r="Q84" s="22"/>
      <c r="R84" s="22"/>
      <c r="S84" s="22"/>
      <c r="T84" s="76" t="str">
        <f t="shared" ref="T84:T89" si="4">D85</f>
        <v>5-ÓTIMO</v>
      </c>
      <c r="U84" s="149">
        <f>(COUNTIFS('1-Autoavaliacao-Institucional'!J$2:J$59,5)+COUNTIFS('1-Autoavaliacao-Institucional'!J$77:J$121,5))/$A$17</f>
        <v>0.35922330097087379</v>
      </c>
    </row>
    <row r="85" spans="1:21" ht="15.75" customHeight="1" x14ac:dyDescent="0.3">
      <c r="A85" s="160">
        <f>COUNTIFS('1-Autoavaliacao-Institucional'!$D$2:$D$126,2020)</f>
        <v>6</v>
      </c>
      <c r="B85" s="61">
        <f>SUM(B79:B84)</f>
        <v>103</v>
      </c>
      <c r="D85" s="66" t="str">
        <f>$A$21</f>
        <v>5-ÓTIMO</v>
      </c>
      <c r="E85" s="24">
        <f>'1-Autoavaliacao-Institucional'!J63</f>
        <v>0.27586206896551724</v>
      </c>
      <c r="F85" s="25">
        <f>'1-Autoavaliacao-Institucional'!J128</f>
        <v>0.46666666666666667</v>
      </c>
      <c r="H85" s="22"/>
      <c r="T85" s="77" t="str">
        <f t="shared" si="4"/>
        <v>4-MUITO BOM</v>
      </c>
      <c r="U85" s="150">
        <f>(COUNTIFS('1-Autoavaliacao-Institucional'!J$2:J$59,4)+COUNTIFS('1-Autoavaliacao-Institucional'!J$77:J$121,4))/$A$17</f>
        <v>0.23300970873786409</v>
      </c>
    </row>
    <row r="86" spans="1:21" ht="15.6" x14ac:dyDescent="0.3">
      <c r="A86" s="160">
        <f>COUNTIFS('1-Autoavaliacao-Institucional'!$D$2:$D$126,2019)</f>
        <v>5</v>
      </c>
      <c r="B86" s="62" t="str">
        <f>IF(B85=A17,"Verificado!","ERRO!")</f>
        <v>Verificado!</v>
      </c>
      <c r="C86" s="139"/>
      <c r="D86" s="67" t="str">
        <f>$A$22</f>
        <v>4-MUITO BOM</v>
      </c>
      <c r="E86" s="26">
        <f>'1-Autoavaliacao-Institucional'!J64</f>
        <v>0.2413793103448276</v>
      </c>
      <c r="F86" s="27">
        <f>'1-Autoavaliacao-Institucional'!J129</f>
        <v>0.22222222222222221</v>
      </c>
      <c r="T86" s="77" t="str">
        <f t="shared" si="4"/>
        <v>3-BOM</v>
      </c>
      <c r="U86" s="150">
        <f>(COUNTIFS('1-Autoavaliacao-Institucional'!J$2:J$59,3)+COUNTIFS('1-Autoavaliacao-Institucional'!J$77:J$121,3))/$A$17</f>
        <v>0.13592233009708737</v>
      </c>
    </row>
    <row r="87" spans="1:21" ht="15.6" x14ac:dyDescent="0.3">
      <c r="A87" s="160">
        <f>COUNTIFS('1-Autoavaliacao-Institucional'!$D$2:$D$126,2018)</f>
        <v>3</v>
      </c>
      <c r="D87" s="67" t="str">
        <f>$A$23</f>
        <v>3-BOM</v>
      </c>
      <c r="E87" s="26">
        <f>'1-Autoavaliacao-Institucional'!J65</f>
        <v>0.1206896551724138</v>
      </c>
      <c r="F87" s="27">
        <f>'1-Autoavaliacao-Institucional'!J130</f>
        <v>0.15555555555555556</v>
      </c>
      <c r="T87" s="77" t="str">
        <f t="shared" si="4"/>
        <v>2-REGULAR</v>
      </c>
      <c r="U87" s="150">
        <f>(COUNTIFS('1-Autoavaliacao-Institucional'!J$2:J$59,2)+COUNTIFS('1-Autoavaliacao-Institucional'!J$77:J$121,2))/$A$17</f>
        <v>6.7961165048543687E-2</v>
      </c>
    </row>
    <row r="88" spans="1:21" ht="15.6" x14ac:dyDescent="0.3">
      <c r="A88" s="160">
        <f>COUNTIFS('1-Autoavaliacao-Institucional'!$D$2:$D$126,2017)</f>
        <v>5</v>
      </c>
      <c r="D88" s="67" t="str">
        <f>$A$24</f>
        <v>2-REGULAR</v>
      </c>
      <c r="E88" s="26">
        <f>'1-Autoavaliacao-Institucional'!J66</f>
        <v>6.8965517241379309E-2</v>
      </c>
      <c r="F88" s="27">
        <f>'1-Autoavaliacao-Institucional'!J131</f>
        <v>6.6666666666666666E-2</v>
      </c>
      <c r="T88" s="77" t="str">
        <f t="shared" si="4"/>
        <v>1-RUIM</v>
      </c>
      <c r="U88" s="150">
        <f>(COUNTIFS('1-Autoavaliacao-Institucional'!J$2:J$59,1)+COUNTIFS('1-Autoavaliacao-Institucional'!J$77:J$121,1))/$A$17</f>
        <v>1.9417475728155338E-2</v>
      </c>
    </row>
    <row r="89" spans="1:21" ht="15.6" x14ac:dyDescent="0.3">
      <c r="A89" s="160">
        <f>COUNTIFS('1-Autoavaliacao-Institucional'!$D$2:$D$126,"Anterior a 2017" )</f>
        <v>25</v>
      </c>
      <c r="D89" s="67" t="str">
        <f>$A$25</f>
        <v>1-RUIM</v>
      </c>
      <c r="E89" s="26">
        <f>'1-Autoavaliacao-Institucional'!J67</f>
        <v>1.7241379310344827E-2</v>
      </c>
      <c r="F89" s="27">
        <f>'1-Autoavaliacao-Institucional'!J132</f>
        <v>2.2222222222222223E-2</v>
      </c>
      <c r="T89" s="78" t="str">
        <f t="shared" si="4"/>
        <v>0-NÃO SE APLICA</v>
      </c>
      <c r="U89" s="151">
        <f>(COUNTIFS('1-Autoavaliacao-Institucional'!J$2:J$59,0)+COUNTIFS('1-Autoavaliacao-Institucional'!J$77:J$121,0))/$A$17</f>
        <v>0.18446601941747573</v>
      </c>
    </row>
    <row r="90" spans="1:21" ht="15.6" x14ac:dyDescent="0.3">
      <c r="A90" s="160">
        <f>COUNTIFS('1-Autoavaliacao-Institucional'!$D$2:$D$126,"Não se aplica" )</f>
        <v>59</v>
      </c>
      <c r="D90" s="68" t="str">
        <f>$A$26</f>
        <v>0-NÃO SE APLICA</v>
      </c>
      <c r="E90" s="28">
        <f>'1-Autoavaliacao-Institucional'!J68</f>
        <v>0.27586206896551724</v>
      </c>
      <c r="F90" s="29">
        <f>'1-Autoavaliacao-Institucional'!J133</f>
        <v>6.6666666666666666E-2</v>
      </c>
    </row>
    <row r="91" spans="1:21" ht="15.6" x14ac:dyDescent="0.3">
      <c r="D91" s="35"/>
      <c r="E91" s="18"/>
      <c r="T91" s="79" t="str">
        <f>T82</f>
        <v>QUESTÃO 09</v>
      </c>
      <c r="U91" s="113" t="s">
        <v>255</v>
      </c>
    </row>
    <row r="92" spans="1:21" ht="15.6" x14ac:dyDescent="0.3">
      <c r="A92" s="161" t="str">
        <f>IF(SUM(A85:A90)=A17,"OK!","ERRO")</f>
        <v>OK!</v>
      </c>
      <c r="D92" s="112"/>
      <c r="E92" s="113" t="s">
        <v>245</v>
      </c>
      <c r="F92" s="113" t="s">
        <v>246</v>
      </c>
      <c r="G92" s="75" t="s">
        <v>251</v>
      </c>
      <c r="T92" s="109" t="str">
        <f>$A$29</f>
        <v>MUITO BOM / ÓTIMO</v>
      </c>
      <c r="U92" s="114">
        <f>U84+U85</f>
        <v>0.59223300970873782</v>
      </c>
    </row>
    <row r="93" spans="1:21" ht="15.6" x14ac:dyDescent="0.3">
      <c r="D93" s="109" t="str">
        <f>$A$29</f>
        <v>MUITO BOM / ÓTIMO</v>
      </c>
      <c r="E93" s="98">
        <f>E85+E86</f>
        <v>0.51724137931034486</v>
      </c>
      <c r="F93" s="99">
        <f>F85+F86</f>
        <v>0.68888888888888888</v>
      </c>
      <c r="G93" s="34">
        <f>(F93-E93)*100</f>
        <v>17.164750957854402</v>
      </c>
      <c r="T93" s="110" t="str">
        <f>$A$30</f>
        <v>BOM</v>
      </c>
      <c r="U93" s="115">
        <f>U86</f>
        <v>0.13592233009708737</v>
      </c>
    </row>
    <row r="94" spans="1:21" ht="15.6" x14ac:dyDescent="0.3">
      <c r="D94" s="110" t="str">
        <f>$A$30</f>
        <v>BOM</v>
      </c>
      <c r="E94" s="100">
        <f>E87</f>
        <v>0.1206896551724138</v>
      </c>
      <c r="F94" s="101">
        <f>F87</f>
        <v>0.15555555555555556</v>
      </c>
      <c r="G94" s="34">
        <f>(F94-E94)*100</f>
        <v>3.4865900383141759</v>
      </c>
      <c r="T94" s="110" t="str">
        <f>$A$31</f>
        <v>RUIM / REGULAR</v>
      </c>
      <c r="U94" s="115">
        <f>U87+U88</f>
        <v>8.7378640776699018E-2</v>
      </c>
    </row>
    <row r="95" spans="1:21" ht="15.6" x14ac:dyDescent="0.3">
      <c r="D95" s="110" t="str">
        <f>$A$31</f>
        <v>RUIM / REGULAR</v>
      </c>
      <c r="E95" s="100">
        <f>E88+E89</f>
        <v>8.6206896551724144E-2</v>
      </c>
      <c r="F95" s="101">
        <f>F88+F89</f>
        <v>8.8888888888888892E-2</v>
      </c>
      <c r="G95" s="34">
        <f>(F95-E95)*100</f>
        <v>0.26819923371647486</v>
      </c>
      <c r="P95" s="18"/>
      <c r="T95" s="111" t="str">
        <f>$A$32</f>
        <v>NÃO SE APLICA / NÃO SEI</v>
      </c>
      <c r="U95" s="116">
        <f>U89</f>
        <v>0.18446601941747573</v>
      </c>
    </row>
    <row r="96" spans="1:21" ht="15.6" x14ac:dyDescent="0.3">
      <c r="D96" s="111" t="str">
        <f>$A$32</f>
        <v>NÃO SE APLICA / NÃO SEI</v>
      </c>
      <c r="E96" s="102">
        <f>E90</f>
        <v>0.27586206896551724</v>
      </c>
      <c r="F96" s="103">
        <f>F90</f>
        <v>6.6666666666666666E-2</v>
      </c>
      <c r="G96" s="34">
        <f>(F96-E96)*100</f>
        <v>-20.919540229885058</v>
      </c>
      <c r="P96" s="21"/>
      <c r="T96" s="105">
        <f>(SUM(U92:U95))</f>
        <v>0.99999999999999989</v>
      </c>
      <c r="U96" s="106" t="str">
        <f>IF(T96=100%, "CORRETO","ERRO")</f>
        <v>CORRETO</v>
      </c>
    </row>
    <row r="97" spans="1:21" ht="15.6" x14ac:dyDescent="0.3">
      <c r="D97" s="105">
        <f>(SUM(E93:E96))</f>
        <v>1</v>
      </c>
      <c r="E97" s="106" t="str">
        <f>IF(D97=100%, "CORRETO","ERRO")</f>
        <v>CORRETO</v>
      </c>
      <c r="F97" s="106" t="str">
        <f>IF(D98=100%, "CORRETO","ERRO")</f>
        <v>CORRETO</v>
      </c>
      <c r="O97" s="16"/>
      <c r="P97" s="18"/>
    </row>
    <row r="98" spans="1:21" ht="15.6" x14ac:dyDescent="0.3">
      <c r="D98" s="105">
        <f>(SUM(F93:F96))</f>
        <v>1</v>
      </c>
      <c r="O98" s="16"/>
      <c r="P98" s="18"/>
    </row>
    <row r="99" spans="1:21" x14ac:dyDescent="0.25">
      <c r="C99" s="153"/>
    </row>
    <row r="100" spans="1:21" x14ac:dyDescent="0.25">
      <c r="C100" s="153"/>
    </row>
    <row r="101" spans="1:21" ht="18.600000000000001" x14ac:dyDescent="0.3">
      <c r="A101" s="163" t="s">
        <v>311</v>
      </c>
      <c r="B101" s="94">
        <f>COUNTIF('1-Autoavaliacao-Institucional'!E$2:E$61,"Pós-Doutorado")+COUNTIF('1-Autoavaliacao-Institucional'!E$77:E$123,"Pós-Doutorado")</f>
        <v>8</v>
      </c>
    </row>
    <row r="102" spans="1:21" ht="18" customHeight="1" x14ac:dyDescent="0.3">
      <c r="A102" s="104"/>
      <c r="B102" s="95">
        <f>COUNTIF('1-Autoavaliacao-Institucional'!E$2:E$61,"Doutorado")+COUNTIF('1-Autoavaliacao-Institucional'!E$77:E$123,"Doutorado")</f>
        <v>21</v>
      </c>
      <c r="C102" s="159"/>
      <c r="E102" s="32" t="s">
        <v>253</v>
      </c>
      <c r="F102" s="37" t="str">
        <f>'1-Autoavaliacao-Institucional'!K1</f>
        <v>10-	O PGMAT tem contribuído para a preservação do meio ambiente ?</v>
      </c>
      <c r="Q102" s="22"/>
      <c r="R102" s="22"/>
      <c r="S102" s="22"/>
      <c r="T102" s="36" t="str">
        <f>E102</f>
        <v>QUESTÃO 10</v>
      </c>
      <c r="U102" s="117"/>
    </row>
    <row r="103" spans="1:21" ht="19.5" customHeight="1" x14ac:dyDescent="0.3">
      <c r="A103" s="19" t="s">
        <v>196</v>
      </c>
      <c r="B103" s="95">
        <f>COUNTIF('1-Autoavaliacao-Institucional'!E$2:E$61,"Mestrado")+COUNTIF('1-Autoavaliacao-Institucional'!E$77:E$123,"Mestrado")</f>
        <v>15</v>
      </c>
      <c r="E103" s="22"/>
      <c r="F103" s="22"/>
      <c r="G103" s="22"/>
      <c r="H103" s="22"/>
      <c r="I103" s="22"/>
      <c r="J103" s="22"/>
      <c r="K103" s="22"/>
      <c r="L103" s="22"/>
      <c r="M103" s="22"/>
      <c r="N103" s="22"/>
      <c r="Q103" s="22"/>
      <c r="R103" s="22"/>
      <c r="S103" s="22"/>
      <c r="T103" s="19"/>
      <c r="U103" s="16"/>
    </row>
    <row r="104" spans="1:21" ht="19.5" customHeight="1" x14ac:dyDescent="0.3">
      <c r="A104" s="19" t="s">
        <v>191</v>
      </c>
      <c r="B104" s="96">
        <f>COUNTIF('1-Autoavaliacao-Institucional'!E$2:E$61,"Não se aplica")+COUNTIF('1-Autoavaliacao-Institucional'!E$77:E$123,"Não se aplica")</f>
        <v>59</v>
      </c>
      <c r="E104" s="23" t="s">
        <v>245</v>
      </c>
      <c r="F104" s="23" t="s">
        <v>246</v>
      </c>
      <c r="H104" s="22"/>
      <c r="I104" s="22"/>
      <c r="J104" s="22"/>
      <c r="K104" s="22"/>
      <c r="L104" s="22"/>
      <c r="M104" s="22"/>
      <c r="N104" s="22"/>
      <c r="Q104" s="22"/>
      <c r="R104" s="22"/>
      <c r="S104" s="22"/>
      <c r="T104" s="76" t="str">
        <f t="shared" ref="T104:T109" si="5">D105</f>
        <v>5-ÓTIMO</v>
      </c>
      <c r="U104" s="149">
        <f>(COUNTIFS('1-Autoavaliacao-Institucional'!K$2:K$59,5)+COUNTIFS('1-Autoavaliacao-Institucional'!K$77:K$121,5))/$A$17</f>
        <v>0.37864077669902912</v>
      </c>
    </row>
    <row r="105" spans="1:21" ht="19.5" customHeight="1" x14ac:dyDescent="0.25">
      <c r="A105" s="19" t="s">
        <v>194</v>
      </c>
      <c r="B105" s="61">
        <f>SUM(B101:B104)</f>
        <v>103</v>
      </c>
      <c r="D105" s="66" t="str">
        <f>$A$21</f>
        <v>5-ÓTIMO</v>
      </c>
      <c r="E105" s="24">
        <f>'1-Autoavaliacao-Institucional'!K63</f>
        <v>0.31034482758620691</v>
      </c>
      <c r="F105" s="25">
        <f>'1-Autoavaliacao-Institucional'!K128</f>
        <v>0.46666666666666667</v>
      </c>
      <c r="H105" s="22"/>
      <c r="T105" s="77" t="str">
        <f t="shared" si="5"/>
        <v>4-MUITO BOM</v>
      </c>
      <c r="U105" s="150">
        <f>(COUNTIFS('1-Autoavaliacao-Institucional'!K$2:K$59,4)+COUNTIFS('1-Autoavaliacao-Institucional'!K$77:K$121,4))/$A$17</f>
        <v>0.31067961165048541</v>
      </c>
    </row>
    <row r="106" spans="1:21" ht="15" x14ac:dyDescent="0.25">
      <c r="A106" s="19" t="s">
        <v>185</v>
      </c>
      <c r="B106" s="62" t="str">
        <f>IF(B105=A17,"Verificado!","ERRO!")</f>
        <v>Verificado!</v>
      </c>
      <c r="D106" s="67" t="str">
        <f>$A$22</f>
        <v>4-MUITO BOM</v>
      </c>
      <c r="E106" s="26">
        <f>'1-Autoavaliacao-Institucional'!K64</f>
        <v>0.31034482758620691</v>
      </c>
      <c r="F106" s="27">
        <f>'1-Autoavaliacao-Institucional'!K129</f>
        <v>0.31111111111111112</v>
      </c>
      <c r="T106" s="77" t="str">
        <f t="shared" si="5"/>
        <v>3-BOM</v>
      </c>
      <c r="U106" s="150">
        <f>(COUNTIFS('1-Autoavaliacao-Institucional'!K$2:K$59,3)+COUNTIFS('1-Autoavaliacao-Institucional'!K$77:K$121,3))/$A$17</f>
        <v>0.10679611650485436</v>
      </c>
    </row>
    <row r="107" spans="1:21" ht="15" x14ac:dyDescent="0.25">
      <c r="D107" s="67" t="str">
        <f>$A$23</f>
        <v>3-BOM</v>
      </c>
      <c r="E107" s="26">
        <f>'1-Autoavaliacao-Institucional'!K65</f>
        <v>0.10344827586206896</v>
      </c>
      <c r="F107" s="27">
        <f>'1-Autoavaliacao-Institucional'!K130</f>
        <v>0.1111111111111111</v>
      </c>
      <c r="T107" s="77" t="str">
        <f t="shared" si="5"/>
        <v>2-REGULAR</v>
      </c>
      <c r="U107" s="150">
        <f>(COUNTIFS('1-Autoavaliacao-Institucional'!K$2:K$59,2)+COUNTIFS('1-Autoavaliacao-Institucional'!K$77:K$121,2))/$A$17</f>
        <v>4.8543689320388349E-2</v>
      </c>
    </row>
    <row r="108" spans="1:21" ht="15" x14ac:dyDescent="0.25">
      <c r="A108" s="162">
        <f>COUNTIFS('1-Autoavaliacao-Institucional'!$E$2:$E$126,"Pós-Doutorado")</f>
        <v>8</v>
      </c>
      <c r="D108" s="67" t="str">
        <f>$A$24</f>
        <v>2-REGULAR</v>
      </c>
      <c r="E108" s="26">
        <f>'1-Autoavaliacao-Institucional'!K66</f>
        <v>5.1724137931034482E-2</v>
      </c>
      <c r="F108" s="27">
        <f>'1-Autoavaliacao-Institucional'!K131</f>
        <v>4.4444444444444446E-2</v>
      </c>
      <c r="T108" s="77" t="str">
        <f t="shared" si="5"/>
        <v>1-RUIM</v>
      </c>
      <c r="U108" s="150">
        <f>(COUNTIFS('1-Autoavaliacao-Institucional'!K$2:K$59,1)+COUNTIFS('1-Autoavaliacao-Institucional'!K$77:K$121,1))/$A$17</f>
        <v>1.9417475728155338E-2</v>
      </c>
    </row>
    <row r="109" spans="1:21" ht="15" x14ac:dyDescent="0.25">
      <c r="A109" s="162">
        <f>COUNTIFS('1-Autoavaliacao-Institucional'!$E$2:$E$126,"Doutorado")</f>
        <v>21</v>
      </c>
      <c r="D109" s="67" t="str">
        <f>$A$25</f>
        <v>1-RUIM</v>
      </c>
      <c r="E109" s="26">
        <f>'1-Autoavaliacao-Institucional'!K67</f>
        <v>3.4482758620689655E-2</v>
      </c>
      <c r="F109" s="27">
        <f>'1-Autoavaliacao-Institucional'!K132</f>
        <v>0</v>
      </c>
      <c r="T109" s="78" t="str">
        <f t="shared" si="5"/>
        <v>0-NÃO SE APLICA</v>
      </c>
      <c r="U109" s="151">
        <f>(COUNTIFS('1-Autoavaliacao-Institucional'!K$2:K$59,0)+COUNTIFS('1-Autoavaliacao-Institucional'!K$77:K$121,0))/$A$17</f>
        <v>0.13592233009708737</v>
      </c>
    </row>
    <row r="110" spans="1:21" ht="15" x14ac:dyDescent="0.25">
      <c r="A110" s="162">
        <f>COUNTIFS('1-Autoavaliacao-Institucional'!$E$2:$E$126,"Mestrado")</f>
        <v>15</v>
      </c>
      <c r="D110" s="68" t="str">
        <f>$A$26</f>
        <v>0-NÃO SE APLICA</v>
      </c>
      <c r="E110" s="28">
        <f>'1-Autoavaliacao-Institucional'!K68</f>
        <v>0.18965517241379309</v>
      </c>
      <c r="F110" s="29">
        <f>'1-Autoavaliacao-Institucional'!K133</f>
        <v>6.6666666666666666E-2</v>
      </c>
    </row>
    <row r="111" spans="1:21" ht="15.6" x14ac:dyDescent="0.3">
      <c r="A111" s="162">
        <f>COUNTIFS('1-Autoavaliacao-Institucional'!$E$2:$E$126,"Não se aplica")</f>
        <v>59</v>
      </c>
      <c r="D111" s="35"/>
      <c r="E111" s="18"/>
      <c r="T111" s="79" t="str">
        <f>T102</f>
        <v>QUESTÃO 10</v>
      </c>
      <c r="U111" s="113" t="s">
        <v>255</v>
      </c>
    </row>
    <row r="112" spans="1:21" ht="15.6" x14ac:dyDescent="0.3">
      <c r="D112" s="112"/>
      <c r="E112" s="113" t="s">
        <v>245</v>
      </c>
      <c r="F112" s="113" t="s">
        <v>246</v>
      </c>
      <c r="G112" s="75" t="s">
        <v>251</v>
      </c>
      <c r="T112" s="109" t="str">
        <f>$A$29</f>
        <v>MUITO BOM / ÓTIMO</v>
      </c>
      <c r="U112" s="114">
        <f>U104+U105</f>
        <v>0.68932038834951448</v>
      </c>
    </row>
    <row r="113" spans="1:21" ht="15.6" x14ac:dyDescent="0.3">
      <c r="A113" s="161" t="str">
        <f>IF(SUM(A108:A111)=A17,"OK!","ERRO")</f>
        <v>OK!</v>
      </c>
      <c r="D113" s="109" t="str">
        <f>$A$29</f>
        <v>MUITO BOM / ÓTIMO</v>
      </c>
      <c r="E113" s="98">
        <f>E105+E106</f>
        <v>0.62068965517241381</v>
      </c>
      <c r="F113" s="99">
        <f>F105+F106</f>
        <v>0.77777777777777779</v>
      </c>
      <c r="G113" s="34">
        <f>(F113-E113)*100</f>
        <v>15.708812260536398</v>
      </c>
      <c r="T113" s="110" t="str">
        <f>$A$30</f>
        <v>BOM</v>
      </c>
      <c r="U113" s="115">
        <f>U106</f>
        <v>0.10679611650485436</v>
      </c>
    </row>
    <row r="114" spans="1:21" ht="15.6" x14ac:dyDescent="0.3">
      <c r="D114" s="110" t="str">
        <f>$A$30</f>
        <v>BOM</v>
      </c>
      <c r="E114" s="100">
        <f>E107</f>
        <v>0.10344827586206896</v>
      </c>
      <c r="F114" s="101">
        <f>F107</f>
        <v>0.1111111111111111</v>
      </c>
      <c r="G114" s="34">
        <f>(F114-E114)*100</f>
        <v>0.76628352490421414</v>
      </c>
      <c r="T114" s="110" t="str">
        <f>$A$31</f>
        <v>RUIM / REGULAR</v>
      </c>
      <c r="U114" s="115">
        <f>U107+U108</f>
        <v>6.7961165048543687E-2</v>
      </c>
    </row>
    <row r="115" spans="1:21" ht="15.6" x14ac:dyDescent="0.3">
      <c r="D115" s="110" t="str">
        <f>$A$31</f>
        <v>RUIM / REGULAR</v>
      </c>
      <c r="E115" s="100">
        <f>E108+E109</f>
        <v>8.6206896551724144E-2</v>
      </c>
      <c r="F115" s="101">
        <f>F108+F109</f>
        <v>4.4444444444444446E-2</v>
      </c>
      <c r="G115" s="34">
        <f>(F115-E115)*100</f>
        <v>-4.1762452107279699</v>
      </c>
      <c r="P115" s="18"/>
      <c r="T115" s="111" t="str">
        <f>$A$32</f>
        <v>NÃO SE APLICA / NÃO SEI</v>
      </c>
      <c r="U115" s="116">
        <f>U109</f>
        <v>0.13592233009708737</v>
      </c>
    </row>
    <row r="116" spans="1:21" ht="15.6" x14ac:dyDescent="0.3">
      <c r="D116" s="111" t="str">
        <f>$A$32</f>
        <v>NÃO SE APLICA / NÃO SEI</v>
      </c>
      <c r="E116" s="102">
        <f>E110</f>
        <v>0.18965517241379309</v>
      </c>
      <c r="F116" s="103">
        <f>F110</f>
        <v>6.6666666666666666E-2</v>
      </c>
      <c r="G116" s="34">
        <f>(F116-E116)*100</f>
        <v>-12.298850574712644</v>
      </c>
      <c r="P116" s="21"/>
      <c r="T116" s="105">
        <f>(SUM(U112:U115))</f>
        <v>0.99999999999999978</v>
      </c>
      <c r="U116" s="106" t="str">
        <f>IF(T116=100%, "CORRETO","ERRO")</f>
        <v>CORRETO</v>
      </c>
    </row>
    <row r="117" spans="1:21" ht="15.6" x14ac:dyDescent="0.3">
      <c r="D117" s="105">
        <f>(SUM(E113:E116))</f>
        <v>1</v>
      </c>
      <c r="E117" s="106" t="str">
        <f>IF(D117=100%, "CORRETO","ERRO")</f>
        <v>CORRETO</v>
      </c>
      <c r="F117" s="106" t="str">
        <f>IF(D118=100%, "CORRETO","ERRO")</f>
        <v>CORRETO</v>
      </c>
      <c r="O117" s="16"/>
      <c r="P117" s="18"/>
    </row>
    <row r="118" spans="1:21" ht="15.6" x14ac:dyDescent="0.3">
      <c r="D118" s="105">
        <f>(SUM(F113:F116))</f>
        <v>0.99999999999999989</v>
      </c>
      <c r="O118" s="16"/>
      <c r="P118" s="18"/>
    </row>
    <row r="122" spans="1:21" ht="18" customHeight="1" x14ac:dyDescent="0.3">
      <c r="A122" s="15"/>
      <c r="E122" s="32" t="s">
        <v>254</v>
      </c>
      <c r="F122" s="37" t="str">
        <f>'1-Autoavaliacao-Institucional'!L1</f>
        <v>11-	O PGMAT tem contribuído para o desenvolvimento local e regional ?</v>
      </c>
      <c r="Q122" s="22"/>
      <c r="R122" s="22"/>
      <c r="S122" s="22"/>
      <c r="T122" s="36" t="str">
        <f>E122</f>
        <v>QUESTÃO 11</v>
      </c>
      <c r="U122" s="117"/>
    </row>
    <row r="123" spans="1:21" ht="17.25" customHeight="1" x14ac:dyDescent="0.25">
      <c r="A123" s="15"/>
      <c r="E123" s="22"/>
      <c r="F123" s="22"/>
      <c r="G123" s="22"/>
      <c r="H123" s="22"/>
      <c r="I123" s="22"/>
      <c r="J123" s="22"/>
      <c r="K123" s="22"/>
      <c r="L123" s="22"/>
      <c r="M123" s="22"/>
      <c r="N123" s="22"/>
      <c r="Q123" s="22"/>
      <c r="R123" s="22"/>
      <c r="S123" s="22"/>
      <c r="T123" s="19"/>
      <c r="U123" s="16"/>
    </row>
    <row r="124" spans="1:21" ht="20.25" customHeight="1" x14ac:dyDescent="0.3">
      <c r="A124" s="15"/>
      <c r="E124" s="23" t="s">
        <v>245</v>
      </c>
      <c r="F124" s="23" t="s">
        <v>246</v>
      </c>
      <c r="H124" s="22"/>
      <c r="I124" s="22"/>
      <c r="J124" s="22"/>
      <c r="K124" s="22"/>
      <c r="L124" s="22"/>
      <c r="M124" s="22"/>
      <c r="N124" s="22"/>
      <c r="Q124" s="22"/>
      <c r="R124" s="22"/>
      <c r="S124" s="22"/>
      <c r="T124" s="76" t="str">
        <f t="shared" ref="T124:T129" si="6">D125</f>
        <v>5-ÓTIMO</v>
      </c>
      <c r="U124" s="149">
        <f>(COUNTIFS('1-Autoavaliacao-Institucional'!L$2:L$59,5)+COUNTIFS('1-Autoavaliacao-Institucional'!L$77:L$121,5))/$A$17</f>
        <v>0.68932038834951459</v>
      </c>
    </row>
    <row r="125" spans="1:21" ht="18" customHeight="1" x14ac:dyDescent="0.25">
      <c r="A125" s="15"/>
      <c r="D125" s="66" t="str">
        <f>$A$21</f>
        <v>5-ÓTIMO</v>
      </c>
      <c r="E125" s="24">
        <f>'1-Autoavaliacao-Institucional'!L63</f>
        <v>0.65517241379310343</v>
      </c>
      <c r="F125" s="25">
        <f>'1-Autoavaliacao-Institucional'!L128</f>
        <v>0.73333333333333328</v>
      </c>
      <c r="H125" s="22"/>
      <c r="T125" s="77" t="str">
        <f t="shared" si="6"/>
        <v>4-MUITO BOM</v>
      </c>
      <c r="U125" s="150">
        <f>(COUNTIFS('1-Autoavaliacao-Institucional'!L$2:L$59,4)+COUNTIFS('1-Autoavaliacao-Institucional'!L$77:L$121,4))/$A$17</f>
        <v>0.17475728155339806</v>
      </c>
    </row>
    <row r="126" spans="1:21" ht="15" x14ac:dyDescent="0.25">
      <c r="A126" s="15"/>
      <c r="D126" s="67" t="str">
        <f>$A$22</f>
        <v>4-MUITO BOM</v>
      </c>
      <c r="E126" s="26">
        <f>'1-Autoavaliacao-Institucional'!L64</f>
        <v>0.13793103448275862</v>
      </c>
      <c r="F126" s="27">
        <f>'1-Autoavaliacao-Institucional'!L129</f>
        <v>0.22222222222222221</v>
      </c>
      <c r="T126" s="77" t="str">
        <f t="shared" si="6"/>
        <v>3-BOM</v>
      </c>
      <c r="U126" s="150">
        <f>(COUNTIFS('1-Autoavaliacao-Institucional'!L$2:L$59,3)+COUNTIFS('1-Autoavaliacao-Institucional'!L$77:L$121,3))/$A$17</f>
        <v>5.8252427184466021E-2</v>
      </c>
    </row>
    <row r="127" spans="1:21" ht="15" x14ac:dyDescent="0.25">
      <c r="A127" s="15"/>
      <c r="D127" s="67" t="str">
        <f>$A$23</f>
        <v>3-BOM</v>
      </c>
      <c r="E127" s="26">
        <f>'1-Autoavaliacao-Institucional'!L65</f>
        <v>8.6206896551724144E-2</v>
      </c>
      <c r="F127" s="27">
        <f>'1-Autoavaliacao-Institucional'!L130</f>
        <v>2.2222222222222223E-2</v>
      </c>
      <c r="T127" s="77" t="str">
        <f t="shared" si="6"/>
        <v>2-REGULAR</v>
      </c>
      <c r="U127" s="150">
        <f>(COUNTIFS('1-Autoavaliacao-Institucional'!L$2:L$59,2)+COUNTIFS('1-Autoavaliacao-Institucional'!L$77:L$121,2))/$A$17</f>
        <v>9.7087378640776691E-3</v>
      </c>
    </row>
    <row r="128" spans="1:21" ht="15" x14ac:dyDescent="0.25">
      <c r="A128" s="15"/>
      <c r="D128" s="67" t="str">
        <f>$A$24</f>
        <v>2-REGULAR</v>
      </c>
      <c r="E128" s="26">
        <f>'1-Autoavaliacao-Institucional'!L66</f>
        <v>1.7241379310344827E-2</v>
      </c>
      <c r="F128" s="27">
        <f>'1-Autoavaliacao-Institucional'!L131</f>
        <v>0</v>
      </c>
      <c r="T128" s="77" t="str">
        <f t="shared" si="6"/>
        <v>1-RUIM</v>
      </c>
      <c r="U128" s="150">
        <f>(COUNTIFS('1-Autoavaliacao-Institucional'!L$2:L$59,1)+COUNTIFS('1-Autoavaliacao-Institucional'!L$77:L$121,1))/$A$17</f>
        <v>0</v>
      </c>
    </row>
    <row r="129" spans="1:21" ht="15" x14ac:dyDescent="0.25">
      <c r="A129" s="15"/>
      <c r="D129" s="67" t="str">
        <f>$A$25</f>
        <v>1-RUIM</v>
      </c>
      <c r="E129" s="26">
        <f>'1-Autoavaliacao-Institucional'!L67</f>
        <v>0</v>
      </c>
      <c r="F129" s="27">
        <f>'1-Autoavaliacao-Institucional'!L132</f>
        <v>0</v>
      </c>
      <c r="T129" s="78" t="str">
        <f t="shared" si="6"/>
        <v>0-NÃO SE APLICA</v>
      </c>
      <c r="U129" s="151">
        <f>(COUNTIFS('1-Autoavaliacao-Institucional'!L$2:L$59,0)+COUNTIFS('1-Autoavaliacao-Institucional'!L$77:L$121,0))/$A$17</f>
        <v>6.7961165048543687E-2</v>
      </c>
    </row>
    <row r="130" spans="1:21" ht="15" x14ac:dyDescent="0.25">
      <c r="A130" s="15"/>
      <c r="D130" s="68" t="str">
        <f>$A$26</f>
        <v>0-NÃO SE APLICA</v>
      </c>
      <c r="E130" s="28">
        <f>'1-Autoavaliacao-Institucional'!L68</f>
        <v>0.10344827586206896</v>
      </c>
      <c r="F130" s="29">
        <f>'1-Autoavaliacao-Institucional'!L133</f>
        <v>2.2222222222222223E-2</v>
      </c>
    </row>
    <row r="131" spans="1:21" ht="15.6" x14ac:dyDescent="0.3">
      <c r="A131" s="15"/>
      <c r="D131" s="35"/>
      <c r="E131" s="18"/>
      <c r="T131" s="79" t="str">
        <f>T122</f>
        <v>QUESTÃO 11</v>
      </c>
      <c r="U131" s="113" t="s">
        <v>255</v>
      </c>
    </row>
    <row r="132" spans="1:21" ht="15.6" x14ac:dyDescent="0.3">
      <c r="A132" s="15"/>
      <c r="D132" s="112"/>
      <c r="E132" s="113" t="s">
        <v>245</v>
      </c>
      <c r="F132" s="113" t="s">
        <v>246</v>
      </c>
      <c r="G132" s="75" t="s">
        <v>251</v>
      </c>
      <c r="T132" s="109" t="str">
        <f>$A$29</f>
        <v>MUITO BOM / ÓTIMO</v>
      </c>
      <c r="U132" s="114">
        <f>U124+U125</f>
        <v>0.86407766990291268</v>
      </c>
    </row>
    <row r="133" spans="1:21" ht="15.6" x14ac:dyDescent="0.3">
      <c r="D133" s="109" t="str">
        <f>$A$29</f>
        <v>MUITO BOM / ÓTIMO</v>
      </c>
      <c r="E133" s="98">
        <f>E125+E126</f>
        <v>0.7931034482758621</v>
      </c>
      <c r="F133" s="99">
        <f>F125+F126</f>
        <v>0.95555555555555549</v>
      </c>
      <c r="G133" s="34">
        <f>(F133-E133)*100</f>
        <v>16.24521072796934</v>
      </c>
      <c r="T133" s="110" t="str">
        <f>$A$30</f>
        <v>BOM</v>
      </c>
      <c r="U133" s="115">
        <f>U126</f>
        <v>5.8252427184466021E-2</v>
      </c>
    </row>
    <row r="134" spans="1:21" ht="15.6" x14ac:dyDescent="0.3">
      <c r="D134" s="110" t="str">
        <f>$A$30</f>
        <v>BOM</v>
      </c>
      <c r="E134" s="100">
        <f>E127</f>
        <v>8.6206896551724144E-2</v>
      </c>
      <c r="F134" s="101">
        <f>F127</f>
        <v>2.2222222222222223E-2</v>
      </c>
      <c r="G134" s="34">
        <f>(F134-E134)*100</f>
        <v>-6.3984674329501914</v>
      </c>
      <c r="T134" s="110" t="str">
        <f>$A$31</f>
        <v>RUIM / REGULAR</v>
      </c>
      <c r="U134" s="115">
        <f>U127+U128</f>
        <v>9.7087378640776691E-3</v>
      </c>
    </row>
    <row r="135" spans="1:21" ht="15.6" x14ac:dyDescent="0.3">
      <c r="D135" s="110" t="str">
        <f>$A$31</f>
        <v>RUIM / REGULAR</v>
      </c>
      <c r="E135" s="100">
        <f>E128+E129</f>
        <v>1.7241379310344827E-2</v>
      </c>
      <c r="F135" s="101">
        <f>F128+F129</f>
        <v>0</v>
      </c>
      <c r="G135" s="34">
        <f>(F135-E135)*100</f>
        <v>-1.7241379310344827</v>
      </c>
      <c r="P135" s="18"/>
      <c r="T135" s="111" t="str">
        <f>$A$32</f>
        <v>NÃO SE APLICA / NÃO SEI</v>
      </c>
      <c r="U135" s="116">
        <f>U129</f>
        <v>6.7961165048543687E-2</v>
      </c>
    </row>
    <row r="136" spans="1:21" ht="15.6" x14ac:dyDescent="0.3">
      <c r="D136" s="111" t="str">
        <f>$A$32</f>
        <v>NÃO SE APLICA / NÃO SEI</v>
      </c>
      <c r="E136" s="102">
        <f>E130</f>
        <v>0.10344827586206896</v>
      </c>
      <c r="F136" s="103">
        <f>F130</f>
        <v>2.2222222222222223E-2</v>
      </c>
      <c r="G136" s="34">
        <f>(F136-E136)*100</f>
        <v>-8.1226053639846736</v>
      </c>
      <c r="P136" s="21"/>
      <c r="T136" s="105">
        <f>(SUM(U132:U135))</f>
        <v>1</v>
      </c>
      <c r="U136" s="106" t="str">
        <f>IF(T136=100%, "CORRETO","ERRO")</f>
        <v>CORRETO</v>
      </c>
    </row>
    <row r="137" spans="1:21" ht="15.6" x14ac:dyDescent="0.3">
      <c r="D137" s="105">
        <f>(SUM(E133:E136))</f>
        <v>1.0000000000000002</v>
      </c>
      <c r="E137" s="106" t="str">
        <f>IF(D137=100%, "CORRETO","ERRO")</f>
        <v>CORRETO</v>
      </c>
      <c r="F137" s="106" t="str">
        <f>IF(D138=100%, "CORRETO","ERRO")</f>
        <v>CORRETO</v>
      </c>
      <c r="O137" s="16"/>
      <c r="P137" s="18"/>
    </row>
    <row r="138" spans="1:21" ht="15.6" x14ac:dyDescent="0.3">
      <c r="D138" s="105">
        <f>(SUM(F133:F136))</f>
        <v>1</v>
      </c>
      <c r="O138" s="16"/>
      <c r="P138" s="18"/>
    </row>
    <row r="143" spans="1:21" ht="21.75" customHeight="1" x14ac:dyDescent="0.3">
      <c r="E143" s="32" t="s">
        <v>256</v>
      </c>
      <c r="F143" s="37" t="str">
        <f>'1-Autoavaliacao-Institucional'!M1</f>
        <v>12-	A atuação do Colegiado do PGMAT tem sido eficiente e transparente ?</v>
      </c>
      <c r="Q143" s="22"/>
      <c r="R143" s="22"/>
      <c r="S143" s="22"/>
      <c r="T143" s="36" t="str">
        <f>E143</f>
        <v>QUESTÃO 12</v>
      </c>
      <c r="U143" s="117"/>
    </row>
    <row r="144" spans="1:21" ht="21.75" customHeight="1" x14ac:dyDescent="0.25">
      <c r="E144" s="22"/>
      <c r="F144" s="22"/>
      <c r="G144" s="22"/>
      <c r="H144" s="22"/>
      <c r="I144" s="22"/>
      <c r="J144" s="22"/>
      <c r="K144" s="22"/>
      <c r="L144" s="22"/>
      <c r="M144" s="22"/>
      <c r="N144" s="22"/>
      <c r="Q144" s="22"/>
      <c r="R144" s="22"/>
      <c r="S144" s="22"/>
      <c r="T144" s="19"/>
      <c r="U144" s="16"/>
    </row>
    <row r="145" spans="4:21" ht="21.75" customHeight="1" x14ac:dyDescent="0.3">
      <c r="E145" s="23" t="s">
        <v>245</v>
      </c>
      <c r="F145" s="23" t="s">
        <v>246</v>
      </c>
      <c r="H145" s="22"/>
      <c r="I145" s="22"/>
      <c r="J145" s="22"/>
      <c r="K145" s="22"/>
      <c r="L145" s="22"/>
      <c r="M145" s="22"/>
      <c r="N145" s="22"/>
      <c r="Q145" s="22"/>
      <c r="R145" s="22"/>
      <c r="S145" s="22"/>
      <c r="T145" s="76" t="str">
        <f t="shared" ref="T145:T150" si="7">D146</f>
        <v>5-ÓTIMO</v>
      </c>
      <c r="U145" s="149">
        <f>(COUNTIFS('1-Autoavaliacao-Institucional'!M$2:M$59,5)+COUNTIFS('1-Autoavaliacao-Institucional'!M$77:M$121,5))/$A$17</f>
        <v>0.5145631067961165</v>
      </c>
    </row>
    <row r="146" spans="4:21" ht="17.25" customHeight="1" x14ac:dyDescent="0.25">
      <c r="D146" s="66" t="str">
        <f>$A$21</f>
        <v>5-ÓTIMO</v>
      </c>
      <c r="E146" s="24">
        <f>'1-Autoavaliacao-Institucional'!M63</f>
        <v>0.53448275862068961</v>
      </c>
      <c r="F146" s="25">
        <f>'1-Autoavaliacao-Institucional'!M128</f>
        <v>0.48888888888888887</v>
      </c>
      <c r="H146" s="22"/>
      <c r="T146" s="77" t="str">
        <f t="shared" si="7"/>
        <v>4-MUITO BOM</v>
      </c>
      <c r="U146" s="150">
        <f>(COUNTIFS('1-Autoavaliacao-Institucional'!M$2:M$59,4)+COUNTIFS('1-Autoavaliacao-Institucional'!M$77:M$121,4))/$A$17</f>
        <v>0.23300970873786409</v>
      </c>
    </row>
    <row r="147" spans="4:21" ht="15" x14ac:dyDescent="0.25">
      <c r="D147" s="67" t="str">
        <f>$A$22</f>
        <v>4-MUITO BOM</v>
      </c>
      <c r="E147" s="26">
        <f>'1-Autoavaliacao-Institucional'!M64</f>
        <v>0.18965517241379309</v>
      </c>
      <c r="F147" s="27">
        <f>'1-Autoavaliacao-Institucional'!M129</f>
        <v>0.28888888888888886</v>
      </c>
      <c r="T147" s="77" t="str">
        <f t="shared" si="7"/>
        <v>3-BOM</v>
      </c>
      <c r="U147" s="150">
        <f>(COUNTIFS('1-Autoavaliacao-Institucional'!M$2:M$59,3)+COUNTIFS('1-Autoavaliacao-Institucional'!M$77:M$121,3))/$A$17</f>
        <v>7.7669902912621352E-2</v>
      </c>
    </row>
    <row r="148" spans="4:21" ht="15" x14ac:dyDescent="0.25">
      <c r="D148" s="67" t="str">
        <f>$A$23</f>
        <v>3-BOM</v>
      </c>
      <c r="E148" s="26">
        <f>'1-Autoavaliacao-Institucional'!M65</f>
        <v>6.8965517241379309E-2</v>
      </c>
      <c r="F148" s="27">
        <f>'1-Autoavaliacao-Institucional'!M130</f>
        <v>8.8888888888888892E-2</v>
      </c>
      <c r="T148" s="77" t="str">
        <f t="shared" si="7"/>
        <v>2-REGULAR</v>
      </c>
      <c r="U148" s="150">
        <f>(COUNTIFS('1-Autoavaliacao-Institucional'!M$2:M$59,2)+COUNTIFS('1-Autoavaliacao-Institucional'!M$77:M$121,2))/$A$17</f>
        <v>2.9126213592233011E-2</v>
      </c>
    </row>
    <row r="149" spans="4:21" ht="15" x14ac:dyDescent="0.25">
      <c r="D149" s="67" t="str">
        <f>$A$24</f>
        <v>2-REGULAR</v>
      </c>
      <c r="E149" s="26">
        <f>'1-Autoavaliacao-Institucional'!M66</f>
        <v>3.4482758620689655E-2</v>
      </c>
      <c r="F149" s="27">
        <f>'1-Autoavaliacao-Institucional'!M131</f>
        <v>2.2222222222222223E-2</v>
      </c>
      <c r="T149" s="77" t="str">
        <f t="shared" si="7"/>
        <v>1-RUIM</v>
      </c>
      <c r="U149" s="150">
        <f>(COUNTIFS('1-Autoavaliacao-Institucional'!M$2:M$59,1)+COUNTIFS('1-Autoavaliacao-Institucional'!M$77:M$121,1))/$A$17</f>
        <v>1.9417475728155338E-2</v>
      </c>
    </row>
    <row r="150" spans="4:21" ht="15" x14ac:dyDescent="0.25">
      <c r="D150" s="67" t="str">
        <f>$A$25</f>
        <v>1-RUIM</v>
      </c>
      <c r="E150" s="26">
        <f>'1-Autoavaliacao-Institucional'!M67</f>
        <v>3.4482758620689655E-2</v>
      </c>
      <c r="F150" s="27">
        <f>'1-Autoavaliacao-Institucional'!M132</f>
        <v>0</v>
      </c>
      <c r="T150" s="78" t="str">
        <f t="shared" si="7"/>
        <v>0-NÃO SE APLICA</v>
      </c>
      <c r="U150" s="151">
        <f>(COUNTIFS('1-Autoavaliacao-Institucional'!M$2:M$59,0)+COUNTIFS('1-Autoavaliacao-Institucional'!M$77:M$121,0))/$A$17</f>
        <v>0.12621359223300971</v>
      </c>
    </row>
    <row r="151" spans="4:21" ht="15" x14ac:dyDescent="0.25">
      <c r="D151" s="68" t="str">
        <f>$A$26</f>
        <v>0-NÃO SE APLICA</v>
      </c>
      <c r="E151" s="28">
        <f>'1-Autoavaliacao-Institucional'!M68</f>
        <v>0.13793103448275862</v>
      </c>
      <c r="F151" s="29">
        <f>'1-Autoavaliacao-Institucional'!M133</f>
        <v>0.1111111111111111</v>
      </c>
    </row>
    <row r="152" spans="4:21" ht="15.6" x14ac:dyDescent="0.3">
      <c r="D152" s="35"/>
      <c r="E152" s="18"/>
      <c r="T152" s="79" t="str">
        <f>T143</f>
        <v>QUESTÃO 12</v>
      </c>
      <c r="U152" s="113" t="s">
        <v>255</v>
      </c>
    </row>
    <row r="153" spans="4:21" ht="15.6" x14ac:dyDescent="0.3">
      <c r="D153" s="112"/>
      <c r="E153" s="113" t="s">
        <v>245</v>
      </c>
      <c r="F153" s="113" t="s">
        <v>246</v>
      </c>
      <c r="G153" s="75" t="s">
        <v>251</v>
      </c>
      <c r="T153" s="109" t="str">
        <f>$A$29</f>
        <v>MUITO BOM / ÓTIMO</v>
      </c>
      <c r="U153" s="114">
        <f>U145+U146</f>
        <v>0.74757281553398058</v>
      </c>
    </row>
    <row r="154" spans="4:21" ht="15.6" x14ac:dyDescent="0.3">
      <c r="D154" s="109" t="str">
        <f>$A$29</f>
        <v>MUITO BOM / ÓTIMO</v>
      </c>
      <c r="E154" s="98">
        <f>E146+E147</f>
        <v>0.72413793103448265</v>
      </c>
      <c r="F154" s="99">
        <f>F146+F147</f>
        <v>0.77777777777777768</v>
      </c>
      <c r="G154" s="34">
        <f>(F154-E154)*100</f>
        <v>5.3639846743295028</v>
      </c>
      <c r="T154" s="110" t="str">
        <f>$A$30</f>
        <v>BOM</v>
      </c>
      <c r="U154" s="115">
        <f>U147</f>
        <v>7.7669902912621352E-2</v>
      </c>
    </row>
    <row r="155" spans="4:21" ht="15.6" x14ac:dyDescent="0.3">
      <c r="D155" s="110" t="str">
        <f>$A$30</f>
        <v>BOM</v>
      </c>
      <c r="E155" s="100">
        <f>E148</f>
        <v>6.8965517241379309E-2</v>
      </c>
      <c r="F155" s="101">
        <f>F148</f>
        <v>8.8888888888888892E-2</v>
      </c>
      <c r="G155" s="34">
        <f>(F155-E155)*100</f>
        <v>1.9923371647509582</v>
      </c>
      <c r="T155" s="110" t="str">
        <f>$A$31</f>
        <v>RUIM / REGULAR</v>
      </c>
      <c r="U155" s="115">
        <f>U148+U149</f>
        <v>4.8543689320388349E-2</v>
      </c>
    </row>
    <row r="156" spans="4:21" ht="15.6" x14ac:dyDescent="0.3">
      <c r="D156" s="110" t="str">
        <f>$A$31</f>
        <v>RUIM / REGULAR</v>
      </c>
      <c r="E156" s="100">
        <f>E149+E150</f>
        <v>6.8965517241379309E-2</v>
      </c>
      <c r="F156" s="101">
        <f>F149+F150</f>
        <v>2.2222222222222223E-2</v>
      </c>
      <c r="G156" s="34">
        <f>(F156-E156)*100</f>
        <v>-4.6743295019157083</v>
      </c>
      <c r="P156" s="18"/>
      <c r="T156" s="111" t="str">
        <f>$A$32</f>
        <v>NÃO SE APLICA / NÃO SEI</v>
      </c>
      <c r="U156" s="116">
        <f>U150</f>
        <v>0.12621359223300971</v>
      </c>
    </row>
    <row r="157" spans="4:21" ht="15.6" x14ac:dyDescent="0.3">
      <c r="D157" s="111" t="str">
        <f>$A$32</f>
        <v>NÃO SE APLICA / NÃO SEI</v>
      </c>
      <c r="E157" s="102">
        <f>E151</f>
        <v>0.13793103448275862</v>
      </c>
      <c r="F157" s="103">
        <f>F151</f>
        <v>0.1111111111111111</v>
      </c>
      <c r="G157" s="34">
        <f>(F157-E157)*100</f>
        <v>-2.6819923371647514</v>
      </c>
      <c r="P157" s="21"/>
      <c r="T157" s="105">
        <f>(SUM(U153:U156))</f>
        <v>1</v>
      </c>
      <c r="U157" s="106" t="str">
        <f>IF(T157=100%, "CORRETO","ERRO")</f>
        <v>CORRETO</v>
      </c>
    </row>
    <row r="158" spans="4:21" ht="15.6" x14ac:dyDescent="0.3">
      <c r="D158" s="105">
        <f>(SUM(E154:E157))</f>
        <v>1</v>
      </c>
      <c r="E158" s="106" t="str">
        <f>IF(D158=100%, "CORRETO","ERRO")</f>
        <v>CORRETO</v>
      </c>
      <c r="F158" s="106" t="str">
        <f>IF(D159=100%, "CORRETO","ERRO")</f>
        <v>CORRETO</v>
      </c>
      <c r="O158" s="16"/>
      <c r="P158" s="18"/>
    </row>
    <row r="159" spans="4:21" ht="15.6" x14ac:dyDescent="0.3">
      <c r="D159" s="105">
        <f>(SUM(F154:F157))</f>
        <v>1</v>
      </c>
      <c r="O159" s="16"/>
      <c r="P159" s="18"/>
    </row>
    <row r="163" spans="4:21" ht="23.25" customHeight="1" x14ac:dyDescent="0.3">
      <c r="E163" s="32" t="s">
        <v>257</v>
      </c>
      <c r="F163" s="37" t="str">
        <f>'1-Autoavaliacao-Institucional'!N1</f>
        <v>13-	A atuação da Coordenação do PGMAT tem sido eficiente e transparente ?</v>
      </c>
      <c r="Q163" s="22"/>
      <c r="R163" s="22"/>
      <c r="S163" s="22"/>
      <c r="T163" s="36" t="str">
        <f>E163</f>
        <v>QUESTÃO 13</v>
      </c>
      <c r="U163" s="117"/>
    </row>
    <row r="164" spans="4:21" ht="22.5" customHeight="1" x14ac:dyDescent="0.25">
      <c r="E164" s="22"/>
      <c r="F164" s="22"/>
      <c r="G164" s="22"/>
      <c r="H164" s="22"/>
      <c r="I164" s="22"/>
      <c r="J164" s="22"/>
      <c r="K164" s="22"/>
      <c r="L164" s="22"/>
      <c r="M164" s="22"/>
      <c r="N164" s="22"/>
      <c r="Q164" s="22"/>
      <c r="R164" s="22"/>
      <c r="S164" s="22"/>
      <c r="T164" s="19"/>
      <c r="U164" s="16"/>
    </row>
    <row r="165" spans="4:21" ht="18" customHeight="1" x14ac:dyDescent="0.3">
      <c r="E165" s="23" t="s">
        <v>245</v>
      </c>
      <c r="F165" s="23" t="s">
        <v>246</v>
      </c>
      <c r="H165" s="22"/>
      <c r="I165" s="22"/>
      <c r="J165" s="22"/>
      <c r="K165" s="22"/>
      <c r="L165" s="22"/>
      <c r="M165" s="22"/>
      <c r="N165" s="22"/>
      <c r="Q165" s="22"/>
      <c r="R165" s="22"/>
      <c r="S165" s="22"/>
      <c r="T165" s="76" t="str">
        <f t="shared" ref="T165:T170" si="8">D166</f>
        <v>5-ÓTIMO</v>
      </c>
      <c r="U165" s="149">
        <f>(COUNTIFS('1-Autoavaliacao-Institucional'!N$2:N$59,5)+COUNTIFS('1-Autoavaliacao-Institucional'!N$77:N$121,5))/$A$17</f>
        <v>0.59223300970873782</v>
      </c>
    </row>
    <row r="166" spans="4:21" ht="18" customHeight="1" x14ac:dyDescent="0.25">
      <c r="D166" s="66" t="str">
        <f>$A$21</f>
        <v>5-ÓTIMO</v>
      </c>
      <c r="E166" s="24">
        <f>'1-Autoavaliacao-Institucional'!N63</f>
        <v>0.56896551724137934</v>
      </c>
      <c r="F166" s="25">
        <f>'1-Autoavaliacao-Institucional'!N128</f>
        <v>0.62222222222222223</v>
      </c>
      <c r="H166" s="22"/>
      <c r="T166" s="77" t="str">
        <f t="shared" si="8"/>
        <v>4-MUITO BOM</v>
      </c>
      <c r="U166" s="150">
        <f>(COUNTIFS('1-Autoavaliacao-Institucional'!N$2:N$59,4)+COUNTIFS('1-Autoavaliacao-Institucional'!N$77:N$121,4))/$A$17</f>
        <v>0.23300970873786409</v>
      </c>
    </row>
    <row r="167" spans="4:21" ht="15" x14ac:dyDescent="0.25">
      <c r="D167" s="67" t="str">
        <f>$A$22</f>
        <v>4-MUITO BOM</v>
      </c>
      <c r="E167" s="26">
        <f>'1-Autoavaliacao-Institucional'!N64</f>
        <v>0.2413793103448276</v>
      </c>
      <c r="F167" s="27">
        <f>'1-Autoavaliacao-Institucional'!N129</f>
        <v>0.22222222222222221</v>
      </c>
      <c r="T167" s="77" t="str">
        <f t="shared" si="8"/>
        <v>3-BOM</v>
      </c>
      <c r="U167" s="150">
        <f>(COUNTIFS('1-Autoavaliacao-Institucional'!N$2:N$59,3)+COUNTIFS('1-Autoavaliacao-Institucional'!N$77:N$121,3))/$A$17</f>
        <v>6.7961165048543687E-2</v>
      </c>
    </row>
    <row r="168" spans="4:21" ht="15" x14ac:dyDescent="0.25">
      <c r="D168" s="67" t="str">
        <f>$A$23</f>
        <v>3-BOM</v>
      </c>
      <c r="E168" s="26">
        <f>'1-Autoavaliacao-Institucional'!N65</f>
        <v>5.1724137931034482E-2</v>
      </c>
      <c r="F168" s="27">
        <f>'1-Autoavaliacao-Institucional'!N130</f>
        <v>8.8888888888888892E-2</v>
      </c>
      <c r="T168" s="77" t="str">
        <f t="shared" si="8"/>
        <v>2-REGULAR</v>
      </c>
      <c r="U168" s="150">
        <f>(COUNTIFS('1-Autoavaliacao-Institucional'!N$2:N$59,2)+COUNTIFS('1-Autoavaliacao-Institucional'!N$77:N$121,2))/$A$17</f>
        <v>9.7087378640776691E-3</v>
      </c>
    </row>
    <row r="169" spans="4:21" ht="15" x14ac:dyDescent="0.25">
      <c r="D169" s="67" t="str">
        <f>$A$24</f>
        <v>2-REGULAR</v>
      </c>
      <c r="E169" s="26">
        <f>'1-Autoavaliacao-Institucional'!N66</f>
        <v>1.7241379310344827E-2</v>
      </c>
      <c r="F169" s="27">
        <f>'1-Autoavaliacao-Institucional'!N131</f>
        <v>0</v>
      </c>
      <c r="T169" s="77" t="str">
        <f t="shared" si="8"/>
        <v>1-RUIM</v>
      </c>
      <c r="U169" s="150">
        <f>(COUNTIFS('1-Autoavaliacao-Institucional'!N$2:N$59,1)+COUNTIFS('1-Autoavaliacao-Institucional'!N$77:N$121,1))/$A$17</f>
        <v>1.9417475728155338E-2</v>
      </c>
    </row>
    <row r="170" spans="4:21" ht="15" x14ac:dyDescent="0.25">
      <c r="D170" s="67" t="str">
        <f>$A$25</f>
        <v>1-RUIM</v>
      </c>
      <c r="E170" s="26">
        <f>'1-Autoavaliacao-Institucional'!N67</f>
        <v>3.4482758620689655E-2</v>
      </c>
      <c r="F170" s="27">
        <f>'1-Autoavaliacao-Institucional'!N132</f>
        <v>0</v>
      </c>
      <c r="T170" s="78" t="str">
        <f t="shared" si="8"/>
        <v>0-NÃO SE APLICA</v>
      </c>
      <c r="U170" s="151">
        <f>(COUNTIFS('1-Autoavaliacao-Institucional'!N$2:N$59,0)+COUNTIFS('1-Autoavaliacao-Institucional'!N$77:N$121,0))/$A$17</f>
        <v>7.7669902912621352E-2</v>
      </c>
    </row>
    <row r="171" spans="4:21" ht="15" x14ac:dyDescent="0.25">
      <c r="D171" s="68" t="str">
        <f>$A$26</f>
        <v>0-NÃO SE APLICA</v>
      </c>
      <c r="E171" s="28">
        <f>'1-Autoavaliacao-Institucional'!N68</f>
        <v>8.6206896551724144E-2</v>
      </c>
      <c r="F171" s="29">
        <f>'1-Autoavaliacao-Institucional'!N133</f>
        <v>6.6666666666666666E-2</v>
      </c>
    </row>
    <row r="172" spans="4:21" ht="15.6" x14ac:dyDescent="0.3">
      <c r="D172" s="35"/>
      <c r="E172" s="18"/>
      <c r="T172" s="79" t="str">
        <f>T163</f>
        <v>QUESTÃO 13</v>
      </c>
      <c r="U172" s="113" t="s">
        <v>255</v>
      </c>
    </row>
    <row r="173" spans="4:21" ht="15.6" x14ac:dyDescent="0.3">
      <c r="D173" s="112"/>
      <c r="E173" s="113" t="s">
        <v>245</v>
      </c>
      <c r="F173" s="113" t="s">
        <v>246</v>
      </c>
      <c r="G173" s="75" t="s">
        <v>251</v>
      </c>
      <c r="T173" s="109" t="str">
        <f>$A$29</f>
        <v>MUITO BOM / ÓTIMO</v>
      </c>
      <c r="U173" s="114">
        <f>U165+U166</f>
        <v>0.82524271844660191</v>
      </c>
    </row>
    <row r="174" spans="4:21" ht="15.6" x14ac:dyDescent="0.3">
      <c r="D174" s="109" t="str">
        <f>$A$29</f>
        <v>MUITO BOM / ÓTIMO</v>
      </c>
      <c r="E174" s="98">
        <f>E166+E167</f>
        <v>0.81034482758620696</v>
      </c>
      <c r="F174" s="99">
        <f>F166+F167</f>
        <v>0.84444444444444444</v>
      </c>
      <c r="G174" s="34">
        <f>(F174-E174)*100</f>
        <v>3.409961685823748</v>
      </c>
      <c r="T174" s="110" t="str">
        <f>$A$30</f>
        <v>BOM</v>
      </c>
      <c r="U174" s="115">
        <f>U167</f>
        <v>6.7961165048543687E-2</v>
      </c>
    </row>
    <row r="175" spans="4:21" ht="15.6" x14ac:dyDescent="0.3">
      <c r="D175" s="110" t="str">
        <f>$A$30</f>
        <v>BOM</v>
      </c>
      <c r="E175" s="100">
        <f>E168</f>
        <v>5.1724137931034482E-2</v>
      </c>
      <c r="F175" s="101">
        <f>F168</f>
        <v>8.8888888888888892E-2</v>
      </c>
      <c r="G175" s="34">
        <f>(F175-E175)*100</f>
        <v>3.7164750957854409</v>
      </c>
      <c r="T175" s="110" t="str">
        <f>$A$31</f>
        <v>RUIM / REGULAR</v>
      </c>
      <c r="U175" s="115">
        <f>U168+U169</f>
        <v>2.9126213592233007E-2</v>
      </c>
    </row>
    <row r="176" spans="4:21" ht="15.6" x14ac:dyDescent="0.3">
      <c r="D176" s="110" t="str">
        <f>$A$31</f>
        <v>RUIM / REGULAR</v>
      </c>
      <c r="E176" s="100">
        <f>E169+E170</f>
        <v>5.1724137931034482E-2</v>
      </c>
      <c r="F176" s="101">
        <f>F169+F170</f>
        <v>0</v>
      </c>
      <c r="G176" s="34">
        <f>(F176-E176)*100</f>
        <v>-5.1724137931034484</v>
      </c>
      <c r="P176" s="18"/>
      <c r="T176" s="111" t="str">
        <f>$A$32</f>
        <v>NÃO SE APLICA / NÃO SEI</v>
      </c>
      <c r="U176" s="116">
        <f>U170</f>
        <v>7.7669902912621352E-2</v>
      </c>
    </row>
    <row r="177" spans="4:21" ht="15.6" x14ac:dyDescent="0.3">
      <c r="D177" s="111" t="str">
        <f>$A$32</f>
        <v>NÃO SE APLICA / NÃO SEI</v>
      </c>
      <c r="E177" s="102">
        <f>E171</f>
        <v>8.6206896551724144E-2</v>
      </c>
      <c r="F177" s="103">
        <f>F171</f>
        <v>6.6666666666666666E-2</v>
      </c>
      <c r="G177" s="34">
        <f>(F177-E177)*100</f>
        <v>-1.9540229885057478</v>
      </c>
      <c r="P177" s="21"/>
      <c r="T177" s="105">
        <f>(SUM(U173:U176))</f>
        <v>0.99999999999999989</v>
      </c>
      <c r="U177" s="106" t="str">
        <f>IF(T177=100%, "CORRETO","ERRO")</f>
        <v>CORRETO</v>
      </c>
    </row>
    <row r="178" spans="4:21" ht="15.6" x14ac:dyDescent="0.3">
      <c r="D178" s="105">
        <f>(SUM(E174:E177))</f>
        <v>1</v>
      </c>
      <c r="E178" s="106" t="str">
        <f>IF(D178=100%, "CORRETO","ERRO")</f>
        <v>CORRETO</v>
      </c>
      <c r="F178" s="106" t="str">
        <f>IF(D179=100%, "CORRETO","ERRO")</f>
        <v>CORRETO</v>
      </c>
      <c r="O178" s="16"/>
      <c r="P178" s="18"/>
    </row>
    <row r="179" spans="4:21" ht="15.6" x14ac:dyDescent="0.3">
      <c r="D179" s="105">
        <f>(SUM(F174:F177))</f>
        <v>1</v>
      </c>
      <c r="O179" s="16"/>
      <c r="P179" s="18"/>
    </row>
    <row r="183" spans="4:21" ht="18.75" customHeight="1" x14ac:dyDescent="0.3">
      <c r="E183" s="32" t="s">
        <v>258</v>
      </c>
      <c r="F183" s="37" t="str">
        <f>'1-Autoavaliacao-Institucional'!O1</f>
        <v>14-	A atuação da Secretaria do PGMAT tem sido eficiente e transparente ?</v>
      </c>
      <c r="Q183" s="22"/>
      <c r="R183" s="22"/>
      <c r="S183" s="22"/>
      <c r="U183" s="117"/>
    </row>
    <row r="184" spans="4:21" ht="18.75" customHeight="1" x14ac:dyDescent="0.25">
      <c r="E184" s="22"/>
      <c r="F184" s="22"/>
      <c r="G184" s="22"/>
      <c r="H184" s="22"/>
      <c r="I184" s="22"/>
      <c r="J184" s="22"/>
      <c r="K184" s="22"/>
      <c r="L184" s="22"/>
      <c r="M184" s="22"/>
      <c r="N184" s="22"/>
      <c r="Q184" s="22"/>
      <c r="R184" s="22"/>
      <c r="S184" s="22"/>
      <c r="T184" s="36" t="str">
        <f>E183</f>
        <v>QUESTÃO 14</v>
      </c>
      <c r="U184" s="16"/>
    </row>
    <row r="185" spans="4:21" ht="18.75" customHeight="1" x14ac:dyDescent="0.3">
      <c r="E185" s="23" t="s">
        <v>245</v>
      </c>
      <c r="F185" s="23" t="s">
        <v>246</v>
      </c>
      <c r="H185" s="22"/>
      <c r="I185" s="22"/>
      <c r="J185" s="22"/>
      <c r="K185" s="22"/>
      <c r="L185" s="22"/>
      <c r="M185" s="22"/>
      <c r="N185" s="22"/>
      <c r="Q185" s="22"/>
      <c r="R185" s="22"/>
      <c r="S185" s="22"/>
      <c r="T185" s="76" t="str">
        <f t="shared" ref="T185:T190" si="9">D186</f>
        <v>5-ÓTIMO</v>
      </c>
      <c r="U185" s="149">
        <f>(COUNTIFS('1-Autoavaliacao-Institucional'!O$2:O$59,5)+COUNTIFS('1-Autoavaliacao-Institucional'!O$77:O$121,5))/$A$17</f>
        <v>0.75728155339805825</v>
      </c>
    </row>
    <row r="186" spans="4:21" ht="18.75" customHeight="1" x14ac:dyDescent="0.25">
      <c r="D186" s="66" t="str">
        <f>$A$21</f>
        <v>5-ÓTIMO</v>
      </c>
      <c r="E186" s="24">
        <f>'1-Autoavaliacao-Institucional'!O63</f>
        <v>0.68965517241379315</v>
      </c>
      <c r="F186" s="25">
        <f>'1-Autoavaliacao-Institucional'!O128</f>
        <v>0.84444444444444444</v>
      </c>
      <c r="H186" s="22"/>
      <c r="T186" s="77" t="str">
        <f t="shared" si="9"/>
        <v>4-MUITO BOM</v>
      </c>
      <c r="U186" s="150">
        <f>(COUNTIFS('1-Autoavaliacao-Institucional'!O$2:O$59,4)+COUNTIFS('1-Autoavaliacao-Institucional'!O$77:O$121,4))/$A$17</f>
        <v>0.14563106796116504</v>
      </c>
    </row>
    <row r="187" spans="4:21" ht="15" x14ac:dyDescent="0.25">
      <c r="D187" s="67" t="str">
        <f>$A$22</f>
        <v>4-MUITO BOM</v>
      </c>
      <c r="E187" s="26">
        <f>'1-Autoavaliacao-Institucional'!O64</f>
        <v>0.20689655172413793</v>
      </c>
      <c r="F187" s="27">
        <f>'1-Autoavaliacao-Institucional'!O129</f>
        <v>6.6666666666666666E-2</v>
      </c>
      <c r="T187" s="77" t="str">
        <f t="shared" si="9"/>
        <v>3-BOM</v>
      </c>
      <c r="U187" s="150">
        <f>(COUNTIFS('1-Autoavaliacao-Institucional'!O$2:O$59,3)+COUNTIFS('1-Autoavaliacao-Institucional'!O$77:O$121,3))/$A$17</f>
        <v>4.8543689320388349E-2</v>
      </c>
    </row>
    <row r="188" spans="4:21" ht="15" x14ac:dyDescent="0.25">
      <c r="D188" s="67" t="str">
        <f>$A$23</f>
        <v>3-BOM</v>
      </c>
      <c r="E188" s="26">
        <f>'1-Autoavaliacao-Institucional'!O65</f>
        <v>3.4482758620689655E-2</v>
      </c>
      <c r="F188" s="27">
        <f>'1-Autoavaliacao-Institucional'!O130</f>
        <v>6.6666666666666666E-2</v>
      </c>
      <c r="T188" s="77" t="str">
        <f t="shared" si="9"/>
        <v>2-REGULAR</v>
      </c>
      <c r="U188" s="150">
        <f>(COUNTIFS('1-Autoavaliacao-Institucional'!O$2:O$59,2)+COUNTIFS('1-Autoavaliacao-Institucional'!O$77:O$121,2))/$A$17</f>
        <v>9.7087378640776691E-3</v>
      </c>
    </row>
    <row r="189" spans="4:21" ht="15" x14ac:dyDescent="0.25">
      <c r="D189" s="67" t="str">
        <f>$A$24</f>
        <v>2-REGULAR</v>
      </c>
      <c r="E189" s="26">
        <f>'1-Autoavaliacao-Institucional'!O66</f>
        <v>1.7241379310344827E-2</v>
      </c>
      <c r="F189" s="27">
        <f>'1-Autoavaliacao-Institucional'!O131</f>
        <v>0</v>
      </c>
      <c r="T189" s="77" t="str">
        <f t="shared" si="9"/>
        <v>1-RUIM</v>
      </c>
      <c r="U189" s="150">
        <f>(COUNTIFS('1-Autoavaliacao-Institucional'!O$2:O$59,1)+COUNTIFS('1-Autoavaliacao-Institucional'!O$77:O$121,1))/$A$17</f>
        <v>9.7087378640776691E-3</v>
      </c>
    </row>
    <row r="190" spans="4:21" ht="15" x14ac:dyDescent="0.25">
      <c r="D190" s="67" t="str">
        <f>$A$25</f>
        <v>1-RUIM</v>
      </c>
      <c r="E190" s="26">
        <f>'1-Autoavaliacao-Institucional'!O67</f>
        <v>1.7241379310344827E-2</v>
      </c>
      <c r="F190" s="27">
        <f>'1-Autoavaliacao-Institucional'!O132</f>
        <v>0</v>
      </c>
      <c r="T190" s="78" t="str">
        <f t="shared" si="9"/>
        <v>0-NÃO SE APLICA</v>
      </c>
      <c r="U190" s="151">
        <f>(COUNTIFS('1-Autoavaliacao-Institucional'!O$2:O$59,0)+COUNTIFS('1-Autoavaliacao-Institucional'!O$77:O$121,0))/$A$17</f>
        <v>2.9126213592233011E-2</v>
      </c>
    </row>
    <row r="191" spans="4:21" ht="15" x14ac:dyDescent="0.25">
      <c r="D191" s="68" t="str">
        <f>$A$26</f>
        <v>0-NÃO SE APLICA</v>
      </c>
      <c r="E191" s="28">
        <f>'1-Autoavaliacao-Institucional'!O68</f>
        <v>3.4482758620689655E-2</v>
      </c>
      <c r="F191" s="29">
        <f>'1-Autoavaliacao-Institucional'!O133</f>
        <v>2.2222222222222223E-2</v>
      </c>
    </row>
    <row r="192" spans="4:21" ht="15.6" x14ac:dyDescent="0.3">
      <c r="D192" s="35"/>
      <c r="E192" s="18"/>
      <c r="T192" s="79" t="str">
        <f>T184</f>
        <v>QUESTÃO 14</v>
      </c>
      <c r="U192" s="113" t="s">
        <v>255</v>
      </c>
    </row>
    <row r="193" spans="4:21" ht="15.6" x14ac:dyDescent="0.3">
      <c r="D193" s="112"/>
      <c r="E193" s="113" t="s">
        <v>245</v>
      </c>
      <c r="F193" s="113" t="s">
        <v>246</v>
      </c>
      <c r="G193" s="75" t="s">
        <v>251</v>
      </c>
      <c r="T193" s="109" t="str">
        <f>$A$29</f>
        <v>MUITO BOM / ÓTIMO</v>
      </c>
      <c r="U193" s="114">
        <f>U185+U186</f>
        <v>0.90291262135922334</v>
      </c>
    </row>
    <row r="194" spans="4:21" ht="15.6" x14ac:dyDescent="0.3">
      <c r="D194" s="109" t="str">
        <f>$A$29</f>
        <v>MUITO BOM / ÓTIMO</v>
      </c>
      <c r="E194" s="98">
        <f>E186+E187</f>
        <v>0.89655172413793105</v>
      </c>
      <c r="F194" s="99">
        <f>F186+F187</f>
        <v>0.91111111111111109</v>
      </c>
      <c r="G194" s="34">
        <f>(F194-E194)*100</f>
        <v>1.4559386973180044</v>
      </c>
      <c r="T194" s="110" t="str">
        <f>$A$30</f>
        <v>BOM</v>
      </c>
      <c r="U194" s="115">
        <f>U187</f>
        <v>4.8543689320388349E-2</v>
      </c>
    </row>
    <row r="195" spans="4:21" ht="15.6" x14ac:dyDescent="0.3">
      <c r="D195" s="110" t="str">
        <f>$A$30</f>
        <v>BOM</v>
      </c>
      <c r="E195" s="100">
        <f>E188</f>
        <v>3.4482758620689655E-2</v>
      </c>
      <c r="F195" s="101">
        <f>F188</f>
        <v>6.6666666666666666E-2</v>
      </c>
      <c r="G195" s="34">
        <f>(F195-E195)*100</f>
        <v>3.2183908045977012</v>
      </c>
      <c r="T195" s="110" t="str">
        <f>$A$31</f>
        <v>RUIM / REGULAR</v>
      </c>
      <c r="U195" s="115">
        <f>U188+U189</f>
        <v>1.9417475728155338E-2</v>
      </c>
    </row>
    <row r="196" spans="4:21" ht="15.6" x14ac:dyDescent="0.3">
      <c r="D196" s="110" t="str">
        <f>$A$31</f>
        <v>RUIM / REGULAR</v>
      </c>
      <c r="E196" s="100">
        <f>E189+E190</f>
        <v>3.4482758620689655E-2</v>
      </c>
      <c r="F196" s="101">
        <f>F189+F190</f>
        <v>0</v>
      </c>
      <c r="G196" s="34">
        <f>(F196-E196)*100</f>
        <v>-3.4482758620689653</v>
      </c>
      <c r="P196" s="18"/>
      <c r="T196" s="111" t="str">
        <f>$A$32</f>
        <v>NÃO SE APLICA / NÃO SEI</v>
      </c>
      <c r="U196" s="116">
        <f>U190</f>
        <v>2.9126213592233011E-2</v>
      </c>
    </row>
    <row r="197" spans="4:21" ht="15.6" x14ac:dyDescent="0.3">
      <c r="D197" s="111" t="str">
        <f>$A$32</f>
        <v>NÃO SE APLICA / NÃO SEI</v>
      </c>
      <c r="E197" s="102">
        <f>E191</f>
        <v>3.4482758620689655E-2</v>
      </c>
      <c r="F197" s="103">
        <f>F191</f>
        <v>2.2222222222222223E-2</v>
      </c>
      <c r="G197" s="34">
        <f>(F197-E197)*100</f>
        <v>-1.2260536398467432</v>
      </c>
      <c r="P197" s="21"/>
      <c r="T197" s="105">
        <f>(SUM(U193:U196))</f>
        <v>1</v>
      </c>
      <c r="U197" s="106" t="str">
        <f>IF(T197=100%, "CORRETO","ERRO")</f>
        <v>CORRETO</v>
      </c>
    </row>
    <row r="198" spans="4:21" ht="15.6" x14ac:dyDescent="0.3">
      <c r="D198" s="105">
        <f>(SUM(E194:E197))</f>
        <v>0.99999999999999989</v>
      </c>
      <c r="E198" s="106" t="str">
        <f>IF(D198=100%, "CORRETO","ERRO")</f>
        <v>CORRETO</v>
      </c>
      <c r="F198" s="106" t="str">
        <f>IF(D199=100%, "CORRETO","ERRO")</f>
        <v>CORRETO</v>
      </c>
      <c r="O198" s="16"/>
      <c r="P198" s="18"/>
    </row>
    <row r="199" spans="4:21" ht="15.6" x14ac:dyDescent="0.3">
      <c r="D199" s="105">
        <f>(SUM(F194:F197))</f>
        <v>1</v>
      </c>
      <c r="O199" s="16"/>
      <c r="P199" s="18"/>
    </row>
    <row r="204" spans="4:21" ht="21.75" customHeight="1" x14ac:dyDescent="0.3">
      <c r="E204" s="32" t="s">
        <v>259</v>
      </c>
      <c r="F204" s="37" t="str">
        <f>'1-Autoavaliacao-Institucional'!P1</f>
        <v>15-	Você conhece/ia o planejamento orçamentário e o acompanhamento da execução relativos ao PROEX no PGMAT ?</v>
      </c>
      <c r="Q204" s="22"/>
      <c r="R204" s="22"/>
      <c r="S204" s="22"/>
      <c r="U204" s="117"/>
    </row>
    <row r="205" spans="4:21" ht="21.75" customHeight="1" x14ac:dyDescent="0.25">
      <c r="E205" s="22"/>
      <c r="F205" s="22"/>
      <c r="G205" s="22"/>
      <c r="H205" s="22"/>
      <c r="I205" s="22"/>
      <c r="J205" s="22"/>
      <c r="K205" s="22"/>
      <c r="L205" s="22"/>
      <c r="M205" s="22"/>
      <c r="N205" s="22"/>
      <c r="Q205" s="22"/>
      <c r="R205" s="22"/>
      <c r="S205" s="22"/>
      <c r="T205" s="36" t="str">
        <f>E204</f>
        <v>QUESTÃO 15</v>
      </c>
      <c r="U205" s="16"/>
    </row>
    <row r="206" spans="4:21" ht="21.75" customHeight="1" x14ac:dyDescent="0.3">
      <c r="E206" s="23" t="s">
        <v>245</v>
      </c>
      <c r="F206" s="23" t="s">
        <v>246</v>
      </c>
      <c r="H206" s="22"/>
      <c r="I206" s="22"/>
      <c r="J206" s="22"/>
      <c r="K206" s="22"/>
      <c r="L206" s="22"/>
      <c r="M206" s="22"/>
      <c r="N206" s="22"/>
      <c r="Q206" s="22"/>
      <c r="R206" s="22"/>
      <c r="S206" s="22"/>
      <c r="T206" s="76" t="str">
        <f t="shared" ref="T206:T211" si="10">D207</f>
        <v>5-ÓTIMO</v>
      </c>
      <c r="U206" s="149">
        <f>(COUNTIFS('1-Autoavaliacao-Institucional'!P$2:P$59,5)+COUNTIFS('1-Autoavaliacao-Institucional'!P$77:P$121,5))/$A$17</f>
        <v>0.13592233009708737</v>
      </c>
    </row>
    <row r="207" spans="4:21" ht="21.75" customHeight="1" x14ac:dyDescent="0.25">
      <c r="D207" s="66" t="str">
        <f>$A$21</f>
        <v>5-ÓTIMO</v>
      </c>
      <c r="E207" s="24">
        <f>'1-Autoavaliacao-Institucional'!P63</f>
        <v>0.1206896551724138</v>
      </c>
      <c r="F207" s="25">
        <f>'1-Autoavaliacao-Institucional'!P128</f>
        <v>0.15555555555555556</v>
      </c>
      <c r="H207" s="22"/>
      <c r="T207" s="77" t="str">
        <f t="shared" si="10"/>
        <v>4-MUITO BOM</v>
      </c>
      <c r="U207" s="150">
        <f>(COUNTIFS('1-Autoavaliacao-Institucional'!P$2:P$59,4)+COUNTIFS('1-Autoavaliacao-Institucional'!P$77:P$121,4))/$A$17</f>
        <v>8.7378640776699032E-2</v>
      </c>
    </row>
    <row r="208" spans="4:21" ht="15" x14ac:dyDescent="0.25">
      <c r="D208" s="67" t="str">
        <f>$A$22</f>
        <v>4-MUITO BOM</v>
      </c>
      <c r="E208" s="26">
        <f>'1-Autoavaliacao-Institucional'!P64</f>
        <v>8.6206896551724144E-2</v>
      </c>
      <c r="F208" s="27">
        <f>'1-Autoavaliacao-Institucional'!P129</f>
        <v>8.8888888888888892E-2</v>
      </c>
      <c r="T208" s="77" t="str">
        <f t="shared" si="10"/>
        <v>3-BOM</v>
      </c>
      <c r="U208" s="150">
        <f>(COUNTIFS('1-Autoavaliacao-Institucional'!P$2:P$59,3)+COUNTIFS('1-Autoavaliacao-Institucional'!P$77:P$121,3))/$A$17</f>
        <v>0.10679611650485436</v>
      </c>
    </row>
    <row r="209" spans="4:21" ht="15" x14ac:dyDescent="0.25">
      <c r="D209" s="67" t="str">
        <f>$A$23</f>
        <v>3-BOM</v>
      </c>
      <c r="E209" s="26">
        <f>'1-Autoavaliacao-Institucional'!P65</f>
        <v>0.1206896551724138</v>
      </c>
      <c r="F209" s="27">
        <f>'1-Autoavaliacao-Institucional'!P130</f>
        <v>8.8888888888888892E-2</v>
      </c>
      <c r="T209" s="77" t="str">
        <f t="shared" si="10"/>
        <v>2-REGULAR</v>
      </c>
      <c r="U209" s="150">
        <f>(COUNTIFS('1-Autoavaliacao-Institucional'!P$2:P$59,2)+COUNTIFS('1-Autoavaliacao-Institucional'!P$77:P$121,2))/$A$17</f>
        <v>7.7669902912621352E-2</v>
      </c>
    </row>
    <row r="210" spans="4:21" ht="15" x14ac:dyDescent="0.25">
      <c r="D210" s="67" t="str">
        <f>$A$24</f>
        <v>2-REGULAR</v>
      </c>
      <c r="E210" s="26">
        <f>'1-Autoavaliacao-Institucional'!P66</f>
        <v>3.4482758620689655E-2</v>
      </c>
      <c r="F210" s="27">
        <f>'1-Autoavaliacao-Institucional'!P131</f>
        <v>0.13333333333333333</v>
      </c>
      <c r="T210" s="77" t="str">
        <f t="shared" si="10"/>
        <v>1-RUIM</v>
      </c>
      <c r="U210" s="150">
        <f>(COUNTIFS('1-Autoavaliacao-Institucional'!P$2:P$59,1)+COUNTIFS('1-Autoavaliacao-Institucional'!P$77:P$121,1))/$A$17</f>
        <v>7.7669902912621352E-2</v>
      </c>
    </row>
    <row r="211" spans="4:21" ht="15" x14ac:dyDescent="0.25">
      <c r="D211" s="67" t="str">
        <f>$A$25</f>
        <v>1-RUIM</v>
      </c>
      <c r="E211" s="26">
        <f>'1-Autoavaliacao-Institucional'!P67</f>
        <v>0.1206896551724138</v>
      </c>
      <c r="F211" s="27">
        <f>'1-Autoavaliacao-Institucional'!P132</f>
        <v>2.2222222222222223E-2</v>
      </c>
      <c r="T211" s="78" t="str">
        <f t="shared" si="10"/>
        <v>0-NÃO SE APLICA</v>
      </c>
      <c r="U211" s="151">
        <f>(COUNTIFS('1-Autoavaliacao-Institucional'!P$2:P$59,0)+COUNTIFS('1-Autoavaliacao-Institucional'!P$77:P$121,0))/$A$17</f>
        <v>0.5145631067961165</v>
      </c>
    </row>
    <row r="212" spans="4:21" ht="15" x14ac:dyDescent="0.25">
      <c r="D212" s="68" t="str">
        <f>$A$26</f>
        <v>0-NÃO SE APLICA</v>
      </c>
      <c r="E212" s="28">
        <f>'1-Autoavaliacao-Institucional'!P68</f>
        <v>0.51724137931034486</v>
      </c>
      <c r="F212" s="29">
        <f>'1-Autoavaliacao-Institucional'!P133</f>
        <v>0.51111111111111107</v>
      </c>
    </row>
    <row r="213" spans="4:21" ht="15.6" x14ac:dyDescent="0.3">
      <c r="D213" s="35"/>
      <c r="E213" s="18"/>
      <c r="T213" s="79" t="str">
        <f>T205</f>
        <v>QUESTÃO 15</v>
      </c>
      <c r="U213" s="113" t="s">
        <v>255</v>
      </c>
    </row>
    <row r="214" spans="4:21" ht="15.6" x14ac:dyDescent="0.3">
      <c r="D214" s="112"/>
      <c r="E214" s="113" t="s">
        <v>245</v>
      </c>
      <c r="F214" s="113" t="s">
        <v>246</v>
      </c>
      <c r="G214" s="75" t="s">
        <v>251</v>
      </c>
      <c r="T214" s="109" t="str">
        <f>$A$29</f>
        <v>MUITO BOM / ÓTIMO</v>
      </c>
      <c r="U214" s="114">
        <f>U206+U207</f>
        <v>0.22330097087378642</v>
      </c>
    </row>
    <row r="215" spans="4:21" ht="15.6" x14ac:dyDescent="0.3">
      <c r="D215" s="109" t="str">
        <f>$A$29</f>
        <v>MUITO BOM / ÓTIMO</v>
      </c>
      <c r="E215" s="98">
        <f>E207+E208</f>
        <v>0.20689655172413796</v>
      </c>
      <c r="F215" s="99">
        <f>F207+F208</f>
        <v>0.24444444444444446</v>
      </c>
      <c r="G215" s="34">
        <f>(F215-E215)*100</f>
        <v>3.754789272030651</v>
      </c>
      <c r="T215" s="110" t="str">
        <f>$A$30</f>
        <v>BOM</v>
      </c>
      <c r="U215" s="115">
        <f>U208</f>
        <v>0.10679611650485436</v>
      </c>
    </row>
    <row r="216" spans="4:21" ht="15.6" x14ac:dyDescent="0.3">
      <c r="D216" s="110" t="str">
        <f>$A$30</f>
        <v>BOM</v>
      </c>
      <c r="E216" s="100">
        <f>E209</f>
        <v>0.1206896551724138</v>
      </c>
      <c r="F216" s="101">
        <f>F209</f>
        <v>8.8888888888888892E-2</v>
      </c>
      <c r="G216" s="34">
        <f>(F216-E216)*100</f>
        <v>-3.1800766283524906</v>
      </c>
      <c r="T216" s="110" t="str">
        <f>$A$31</f>
        <v>RUIM / REGULAR</v>
      </c>
      <c r="U216" s="115">
        <f>U209+U210</f>
        <v>0.1553398058252427</v>
      </c>
    </row>
    <row r="217" spans="4:21" ht="15.6" x14ac:dyDescent="0.3">
      <c r="D217" s="110" t="str">
        <f>$A$31</f>
        <v>RUIM / REGULAR</v>
      </c>
      <c r="E217" s="100">
        <f>E210+E211</f>
        <v>0.15517241379310345</v>
      </c>
      <c r="F217" s="101">
        <f>F210+F211</f>
        <v>0.15555555555555556</v>
      </c>
      <c r="G217" s="34">
        <f>(F217-E217)*100</f>
        <v>3.8314176245210496E-2</v>
      </c>
      <c r="P217" s="18"/>
      <c r="T217" s="111" t="str">
        <f>$A$32</f>
        <v>NÃO SE APLICA / NÃO SEI</v>
      </c>
      <c r="U217" s="116">
        <f>U211</f>
        <v>0.5145631067961165</v>
      </c>
    </row>
    <row r="218" spans="4:21" ht="15.6" x14ac:dyDescent="0.3">
      <c r="D218" s="111" t="str">
        <f>$A$32</f>
        <v>NÃO SE APLICA / NÃO SEI</v>
      </c>
      <c r="E218" s="102">
        <f>E212</f>
        <v>0.51724137931034486</v>
      </c>
      <c r="F218" s="103">
        <f>F212</f>
        <v>0.51111111111111107</v>
      </c>
      <c r="G218" s="34">
        <f>(F218-E218)*100</f>
        <v>-0.61302681992337904</v>
      </c>
      <c r="P218" s="21"/>
      <c r="T218" s="105">
        <f>(SUM(U214:U217))</f>
        <v>1</v>
      </c>
      <c r="U218" s="106" t="str">
        <f>IF(T218=100%, "CORRETO","ERRO")</f>
        <v>CORRETO</v>
      </c>
    </row>
    <row r="219" spans="4:21" ht="15.6" x14ac:dyDescent="0.3">
      <c r="D219" s="105">
        <f>(SUM(E215:E218))</f>
        <v>1</v>
      </c>
      <c r="E219" s="106" t="str">
        <f>IF(D219=100%, "CORRETO","ERRO")</f>
        <v>CORRETO</v>
      </c>
      <c r="F219" s="106" t="str">
        <f>IF(D220=100%, "CORRETO","ERRO")</f>
        <v>CORRETO</v>
      </c>
      <c r="O219" s="16"/>
      <c r="P219" s="18"/>
    </row>
    <row r="220" spans="4:21" ht="15.6" x14ac:dyDescent="0.3">
      <c r="D220" s="105">
        <f>(SUM(F215:F218))</f>
        <v>1</v>
      </c>
      <c r="O220" s="16"/>
      <c r="P220" s="18"/>
    </row>
    <row r="224" spans="4:21" ht="21.75" customHeight="1" x14ac:dyDescent="0.3">
      <c r="E224" s="32" t="s">
        <v>260</v>
      </c>
      <c r="F224" s="37" t="str">
        <f>'1-Autoavaliacao-Institucional'!Q1</f>
        <v>16-	As informações do PGMAT (editais de seleção, mecanismos de transparência, resultados de avaliação, entre outros) têm sido acessíveis à comunidade INTERNA ao Programa?</v>
      </c>
      <c r="Q224" s="22"/>
      <c r="R224" s="22"/>
      <c r="S224" s="22"/>
    </row>
    <row r="225" spans="4:21" ht="19.5" customHeight="1" x14ac:dyDescent="0.25">
      <c r="E225" s="22"/>
      <c r="F225" s="22"/>
      <c r="G225" s="22"/>
      <c r="H225" s="22"/>
      <c r="I225" s="22"/>
      <c r="J225" s="22"/>
      <c r="K225" s="22"/>
      <c r="L225" s="22"/>
      <c r="M225" s="22"/>
      <c r="N225" s="22"/>
      <c r="Q225" s="22"/>
      <c r="R225" s="22"/>
      <c r="S225" s="22"/>
      <c r="U225" s="16"/>
    </row>
    <row r="226" spans="4:21" ht="18.75" customHeight="1" x14ac:dyDescent="0.3">
      <c r="E226" s="23" t="s">
        <v>245</v>
      </c>
      <c r="F226" s="23" t="s">
        <v>246</v>
      </c>
      <c r="H226" s="22"/>
      <c r="I226" s="22"/>
      <c r="J226" s="22"/>
      <c r="K226" s="22"/>
      <c r="L226" s="22"/>
      <c r="M226" s="22"/>
      <c r="N226" s="22"/>
      <c r="Q226" s="22"/>
      <c r="R226" s="22"/>
      <c r="S226" s="22"/>
      <c r="T226" s="118" t="str">
        <f>E224</f>
        <v>QUESTÃO 16</v>
      </c>
    </row>
    <row r="227" spans="4:21" ht="21" customHeight="1" x14ac:dyDescent="0.25">
      <c r="D227" s="66" t="str">
        <f>$A$21</f>
        <v>5-ÓTIMO</v>
      </c>
      <c r="E227" s="24">
        <f>'1-Autoavaliacao-Institucional'!Q63</f>
        <v>0.56896551724137934</v>
      </c>
      <c r="F227" s="25">
        <f>'1-Autoavaliacao-Institucional'!Q128</f>
        <v>0.55555555555555558</v>
      </c>
      <c r="H227" s="22"/>
      <c r="T227" s="76" t="str">
        <f t="shared" ref="T227:T232" si="11">D227</f>
        <v>5-ÓTIMO</v>
      </c>
      <c r="U227" s="149">
        <f>(COUNTIFS('1-Autoavaliacao-Institucional'!Q$2:Q$59,5)+COUNTIFS('1-Autoavaliacao-Institucional'!Q$77:Q$121,5))/$A$17</f>
        <v>0.56310679611650483</v>
      </c>
    </row>
    <row r="228" spans="4:21" ht="15" x14ac:dyDescent="0.25">
      <c r="D228" s="67" t="str">
        <f>$A$22</f>
        <v>4-MUITO BOM</v>
      </c>
      <c r="E228" s="26">
        <f>'1-Autoavaliacao-Institucional'!Q64</f>
        <v>0.20689655172413793</v>
      </c>
      <c r="F228" s="27">
        <f>'1-Autoavaliacao-Institucional'!Q129</f>
        <v>0.2</v>
      </c>
      <c r="T228" s="77" t="str">
        <f t="shared" si="11"/>
        <v>4-MUITO BOM</v>
      </c>
      <c r="U228" s="150">
        <f>(COUNTIFS('1-Autoavaliacao-Institucional'!Q$2:Q$59,4)+COUNTIFS('1-Autoavaliacao-Institucional'!Q$77:Q$121,4))/$A$17</f>
        <v>0.20388349514563106</v>
      </c>
    </row>
    <row r="229" spans="4:21" ht="15" x14ac:dyDescent="0.25">
      <c r="D229" s="67" t="str">
        <f>$A$23</f>
        <v>3-BOM</v>
      </c>
      <c r="E229" s="26">
        <f>'1-Autoavaliacao-Institucional'!Q65</f>
        <v>6.8965517241379309E-2</v>
      </c>
      <c r="F229" s="27">
        <f>'1-Autoavaliacao-Institucional'!Q130</f>
        <v>4.4444444444444446E-2</v>
      </c>
      <c r="T229" s="77" t="str">
        <f t="shared" si="11"/>
        <v>3-BOM</v>
      </c>
      <c r="U229" s="150">
        <f>(COUNTIFS('1-Autoavaliacao-Institucional'!Q$2:Q$59,3)+COUNTIFS('1-Autoavaliacao-Institucional'!Q$77:Q$121,3))/$A$17</f>
        <v>5.8252427184466021E-2</v>
      </c>
    </row>
    <row r="230" spans="4:21" ht="15" x14ac:dyDescent="0.25">
      <c r="D230" s="67" t="str">
        <f>$A$24</f>
        <v>2-REGULAR</v>
      </c>
      <c r="E230" s="26">
        <f>'1-Autoavaliacao-Institucional'!Q66</f>
        <v>1.7241379310344827E-2</v>
      </c>
      <c r="F230" s="27">
        <f>'1-Autoavaliacao-Institucional'!Q131</f>
        <v>4.4444444444444446E-2</v>
      </c>
      <c r="T230" s="77" t="str">
        <f t="shared" si="11"/>
        <v>2-REGULAR</v>
      </c>
      <c r="U230" s="150">
        <f>(COUNTIFS('1-Autoavaliacao-Institucional'!Q$2:Q$59,2)+COUNTIFS('1-Autoavaliacao-Institucional'!Q$77:Q$121,2))/$A$17</f>
        <v>2.9126213592233011E-2</v>
      </c>
    </row>
    <row r="231" spans="4:21" ht="15" x14ac:dyDescent="0.25">
      <c r="D231" s="67" t="str">
        <f>$A$25</f>
        <v>1-RUIM</v>
      </c>
      <c r="E231" s="26">
        <f>'1-Autoavaliacao-Institucional'!Q67</f>
        <v>1.7241379310344827E-2</v>
      </c>
      <c r="F231" s="27">
        <f>'1-Autoavaliacao-Institucional'!Q132</f>
        <v>6.6666666666666666E-2</v>
      </c>
      <c r="T231" s="77" t="str">
        <f t="shared" si="11"/>
        <v>1-RUIM</v>
      </c>
      <c r="U231" s="150">
        <f>(COUNTIFS('1-Autoavaliacao-Institucional'!Q$2:Q$59,1)+COUNTIFS('1-Autoavaliacao-Institucional'!Q$77:Q$121,1))/$A$17</f>
        <v>3.8834951456310676E-2</v>
      </c>
    </row>
    <row r="232" spans="4:21" ht="15" x14ac:dyDescent="0.25">
      <c r="D232" s="68" t="str">
        <f>$A$26</f>
        <v>0-NÃO SE APLICA</v>
      </c>
      <c r="E232" s="28">
        <f>'1-Autoavaliacao-Institucional'!Q68</f>
        <v>0.1206896551724138</v>
      </c>
      <c r="F232" s="29">
        <f>'1-Autoavaliacao-Institucional'!Q133</f>
        <v>8.8888888888888892E-2</v>
      </c>
      <c r="T232" s="78" t="str">
        <f t="shared" si="11"/>
        <v>0-NÃO SE APLICA</v>
      </c>
      <c r="U232" s="151">
        <f>(COUNTIFS('1-Autoavaliacao-Institucional'!Q$2:Q$59,0)+COUNTIFS('1-Autoavaliacao-Institucional'!Q$77:Q$121,0))/$A$17</f>
        <v>0.10679611650485436</v>
      </c>
    </row>
    <row r="233" spans="4:21" ht="15.6" x14ac:dyDescent="0.3">
      <c r="D233" s="35"/>
      <c r="E233" s="18"/>
      <c r="T233" s="35"/>
    </row>
    <row r="234" spans="4:21" ht="15.6" x14ac:dyDescent="0.3">
      <c r="D234" s="112"/>
      <c r="E234" s="113" t="s">
        <v>245</v>
      </c>
      <c r="F234" s="113" t="s">
        <v>246</v>
      </c>
      <c r="G234" s="75" t="s">
        <v>251</v>
      </c>
      <c r="T234" s="79" t="str">
        <f>T226</f>
        <v>QUESTÃO 16</v>
      </c>
      <c r="U234" s="113" t="s">
        <v>255</v>
      </c>
    </row>
    <row r="235" spans="4:21" ht="15.6" x14ac:dyDescent="0.3">
      <c r="D235" s="109" t="str">
        <f>$A$29</f>
        <v>MUITO BOM / ÓTIMO</v>
      </c>
      <c r="E235" s="98">
        <f>E227+E228</f>
        <v>0.77586206896551724</v>
      </c>
      <c r="F235" s="99">
        <f>F227+F228</f>
        <v>0.75555555555555554</v>
      </c>
      <c r="G235" s="34">
        <f>(F235-E235)*100</f>
        <v>-2.0306513409961702</v>
      </c>
      <c r="T235" s="109" t="str">
        <f>$A$29</f>
        <v>MUITO BOM / ÓTIMO</v>
      </c>
      <c r="U235" s="114">
        <f>U227+U228</f>
        <v>0.76699029126213591</v>
      </c>
    </row>
    <row r="236" spans="4:21" ht="15.6" x14ac:dyDescent="0.3">
      <c r="D236" s="110" t="str">
        <f>$A$30</f>
        <v>BOM</v>
      </c>
      <c r="E236" s="100">
        <f>E229</f>
        <v>6.8965517241379309E-2</v>
      </c>
      <c r="F236" s="101">
        <f>F229</f>
        <v>4.4444444444444446E-2</v>
      </c>
      <c r="G236" s="34">
        <f>(F236-E236)*100</f>
        <v>-2.4521072796934864</v>
      </c>
      <c r="T236" s="110" t="str">
        <f>$A$30</f>
        <v>BOM</v>
      </c>
      <c r="U236" s="115">
        <f>U229</f>
        <v>5.8252427184466021E-2</v>
      </c>
    </row>
    <row r="237" spans="4:21" ht="15.6" x14ac:dyDescent="0.3">
      <c r="D237" s="110" t="str">
        <f>$A$31</f>
        <v>RUIM / REGULAR</v>
      </c>
      <c r="E237" s="100">
        <f>E230+E231</f>
        <v>3.4482758620689655E-2</v>
      </c>
      <c r="F237" s="101">
        <f>F230+F231</f>
        <v>0.1111111111111111</v>
      </c>
      <c r="G237" s="34">
        <f>(F237-E237)*100</f>
        <v>7.6628352490421454</v>
      </c>
      <c r="P237" s="18"/>
      <c r="T237" s="110" t="str">
        <f>$A$31</f>
        <v>RUIM / REGULAR</v>
      </c>
      <c r="U237" s="115">
        <f>U230+U231</f>
        <v>6.7961165048543687E-2</v>
      </c>
    </row>
    <row r="238" spans="4:21" ht="15.6" x14ac:dyDescent="0.3">
      <c r="D238" s="111" t="str">
        <f>$A$32</f>
        <v>NÃO SE APLICA / NÃO SEI</v>
      </c>
      <c r="E238" s="102">
        <f>E232</f>
        <v>0.1206896551724138</v>
      </c>
      <c r="F238" s="103">
        <f>F232</f>
        <v>8.8888888888888892E-2</v>
      </c>
      <c r="G238" s="34">
        <f>(F238-E238)*100</f>
        <v>-3.1800766283524906</v>
      </c>
      <c r="P238" s="21"/>
      <c r="T238" s="111" t="str">
        <f>$A$32</f>
        <v>NÃO SE APLICA / NÃO SEI</v>
      </c>
      <c r="U238" s="116">
        <f>U232</f>
        <v>0.10679611650485436</v>
      </c>
    </row>
    <row r="239" spans="4:21" ht="15.6" x14ac:dyDescent="0.3">
      <c r="D239" s="105">
        <f>(SUM(E235:E238))</f>
        <v>1</v>
      </c>
      <c r="E239" s="106" t="str">
        <f>IF(D239=100%, "CORRETO","ERRO")</f>
        <v>CORRETO</v>
      </c>
      <c r="F239" s="106" t="str">
        <f>IF(D240=100%, "CORRETO","ERRO")</f>
        <v>CORRETO</v>
      </c>
      <c r="O239" s="16"/>
      <c r="P239" s="18"/>
      <c r="T239" s="105">
        <f>(SUM(U235:U238))</f>
        <v>0.99999999999999989</v>
      </c>
      <c r="U239" s="106" t="str">
        <f>IF(T239=100%, "CORRETO","ERRO")</f>
        <v>CORRETO</v>
      </c>
    </row>
    <row r="240" spans="4:21" ht="15.6" x14ac:dyDescent="0.3">
      <c r="D240" s="105">
        <f>(SUM(F235:F238))</f>
        <v>0.99999999999999989</v>
      </c>
      <c r="O240" s="16"/>
      <c r="P240" s="18"/>
    </row>
    <row r="243" spans="4:21" ht="23.25" customHeight="1" x14ac:dyDescent="0.3">
      <c r="E243" s="32" t="s">
        <v>261</v>
      </c>
      <c r="F243" s="37" t="str">
        <f>'1-Autoavaliacao-Institucional'!R1</f>
        <v>17-	As informações do PGMAT (editais de seleção, mecanismos de transparência, resultados de avaliação, atas de reuniões, entre outros) têm sido acessíveis à comunidade EXTERNA ao Programa ?</v>
      </c>
      <c r="Q243" s="22"/>
      <c r="R243" s="22"/>
      <c r="S243" s="22"/>
    </row>
    <row r="244" spans="4:21" ht="19.5" customHeight="1" x14ac:dyDescent="0.25">
      <c r="E244" s="22"/>
      <c r="F244" s="22"/>
      <c r="G244" s="22"/>
      <c r="H244" s="22"/>
      <c r="I244" s="22"/>
      <c r="J244" s="22"/>
      <c r="K244" s="22"/>
      <c r="L244" s="22"/>
      <c r="M244" s="22"/>
      <c r="N244" s="22"/>
      <c r="Q244" s="22"/>
      <c r="R244" s="22"/>
      <c r="S244" s="22"/>
    </row>
    <row r="245" spans="4:21" ht="19.5" customHeight="1" x14ac:dyDescent="0.3">
      <c r="E245" s="23" t="s">
        <v>245</v>
      </c>
      <c r="F245" s="23" t="s">
        <v>246</v>
      </c>
      <c r="H245" s="22"/>
      <c r="I245" s="22"/>
      <c r="J245" s="22"/>
      <c r="K245" s="22"/>
      <c r="L245" s="22"/>
      <c r="M245" s="22"/>
      <c r="N245" s="22"/>
      <c r="Q245" s="22"/>
      <c r="R245" s="22"/>
      <c r="S245" s="22"/>
      <c r="T245" s="36" t="str">
        <f>E243</f>
        <v>QUESTÃO 17</v>
      </c>
      <c r="U245" s="117"/>
    </row>
    <row r="246" spans="4:21" ht="19.5" customHeight="1" x14ac:dyDescent="0.25">
      <c r="D246" s="66" t="str">
        <f>$A$21</f>
        <v>5-ÓTIMO</v>
      </c>
      <c r="E246" s="24">
        <f>'1-Autoavaliacao-Institucional'!R63</f>
        <v>0.43103448275862066</v>
      </c>
      <c r="F246" s="25">
        <f>'1-Autoavaliacao-Institucional'!R128</f>
        <v>0.51111111111111107</v>
      </c>
      <c r="H246" s="22"/>
      <c r="T246" s="76" t="str">
        <f t="shared" ref="T246:T251" si="12">D246</f>
        <v>5-ÓTIMO</v>
      </c>
      <c r="U246" s="149">
        <f>(COUNTIFS('1-Autoavaliacao-Institucional'!R$2:R$59,5)+COUNTIFS('1-Autoavaliacao-Institucional'!R$77:R$121,5))/$A$17</f>
        <v>0.46601941747572817</v>
      </c>
    </row>
    <row r="247" spans="4:21" ht="15" x14ac:dyDescent="0.25">
      <c r="D247" s="67" t="str">
        <f>$A$22</f>
        <v>4-MUITO BOM</v>
      </c>
      <c r="E247" s="26">
        <f>'1-Autoavaliacao-Institucional'!R64</f>
        <v>0.17241379310344829</v>
      </c>
      <c r="F247" s="27">
        <f>'1-Autoavaliacao-Institucional'!R129</f>
        <v>0.22222222222222221</v>
      </c>
      <c r="T247" s="77" t="str">
        <f t="shared" si="12"/>
        <v>4-MUITO BOM</v>
      </c>
      <c r="U247" s="150">
        <f>(COUNTIFS('1-Autoavaliacao-Institucional'!R$2:R$59,4)+COUNTIFS('1-Autoavaliacao-Institucional'!R$77:R$121,4))/$A$17</f>
        <v>0.1941747572815534</v>
      </c>
    </row>
    <row r="248" spans="4:21" ht="15" x14ac:dyDescent="0.25">
      <c r="D248" s="67" t="str">
        <f>$A$23</f>
        <v>3-BOM</v>
      </c>
      <c r="E248" s="26">
        <f>'1-Autoavaliacao-Institucional'!R65</f>
        <v>0.10344827586206896</v>
      </c>
      <c r="F248" s="27">
        <f>'1-Autoavaliacao-Institucional'!R130</f>
        <v>0.1111111111111111</v>
      </c>
      <c r="T248" s="77" t="str">
        <f t="shared" si="12"/>
        <v>3-BOM</v>
      </c>
      <c r="U248" s="150">
        <f>(COUNTIFS('1-Autoavaliacao-Institucional'!R$2:R$59,3)+COUNTIFS('1-Autoavaliacao-Institucional'!R$77:R$121,3))/$A$17</f>
        <v>0.10679611650485436</v>
      </c>
    </row>
    <row r="249" spans="4:21" ht="15" x14ac:dyDescent="0.25">
      <c r="D249" s="67" t="str">
        <f>$A$24</f>
        <v>2-REGULAR</v>
      </c>
      <c r="E249" s="26">
        <f>'1-Autoavaliacao-Institucional'!R66</f>
        <v>6.8965517241379309E-2</v>
      </c>
      <c r="F249" s="27">
        <f>'1-Autoavaliacao-Institucional'!R131</f>
        <v>2.2222222222222223E-2</v>
      </c>
      <c r="T249" s="77" t="str">
        <f t="shared" si="12"/>
        <v>2-REGULAR</v>
      </c>
      <c r="U249" s="150">
        <f>(COUNTIFS('1-Autoavaliacao-Institucional'!R$2:R$59,2)+COUNTIFS('1-Autoavaliacao-Institucional'!R$77:R$121,2))/$A$17</f>
        <v>4.8543689320388349E-2</v>
      </c>
    </row>
    <row r="250" spans="4:21" ht="15" x14ac:dyDescent="0.25">
      <c r="D250" s="67" t="str">
        <f>$A$25</f>
        <v>1-RUIM</v>
      </c>
      <c r="E250" s="26">
        <f>'1-Autoavaliacao-Institucional'!R67</f>
        <v>5.1724137931034482E-2</v>
      </c>
      <c r="F250" s="27">
        <f>'1-Autoavaliacao-Institucional'!R132</f>
        <v>2.2222222222222223E-2</v>
      </c>
      <c r="T250" s="77" t="str">
        <f t="shared" si="12"/>
        <v>1-RUIM</v>
      </c>
      <c r="U250" s="150">
        <f>(COUNTIFS('1-Autoavaliacao-Institucional'!R$2:R$59,1)+COUNTIFS('1-Autoavaliacao-Institucional'!R$77:R$121,1))/$A$17</f>
        <v>3.8834951456310676E-2</v>
      </c>
    </row>
    <row r="251" spans="4:21" ht="15" x14ac:dyDescent="0.25">
      <c r="D251" s="68" t="str">
        <f>$A$26</f>
        <v>0-NÃO SE APLICA</v>
      </c>
      <c r="E251" s="28">
        <f>'1-Autoavaliacao-Institucional'!R68</f>
        <v>0.17241379310344829</v>
      </c>
      <c r="F251" s="29">
        <f>'1-Autoavaliacao-Institucional'!R133</f>
        <v>0.1111111111111111</v>
      </c>
      <c r="T251" s="78" t="str">
        <f t="shared" si="12"/>
        <v>0-NÃO SE APLICA</v>
      </c>
      <c r="U251" s="151">
        <f>(COUNTIFS('1-Autoavaliacao-Institucional'!R$2:R$59,0)+COUNTIFS('1-Autoavaliacao-Institucional'!R$77:R$121,0))/$A$17</f>
        <v>0.14563106796116504</v>
      </c>
    </row>
    <row r="252" spans="4:21" ht="15.6" x14ac:dyDescent="0.3">
      <c r="D252" s="35"/>
      <c r="E252" s="18"/>
      <c r="T252" s="35"/>
    </row>
    <row r="253" spans="4:21" ht="15.6" x14ac:dyDescent="0.3">
      <c r="D253" s="112"/>
      <c r="E253" s="113" t="s">
        <v>245</v>
      </c>
      <c r="F253" s="113" t="s">
        <v>246</v>
      </c>
      <c r="G253" s="75" t="s">
        <v>251</v>
      </c>
      <c r="T253" s="79" t="str">
        <f>T245</f>
        <v>QUESTÃO 17</v>
      </c>
      <c r="U253" s="113" t="s">
        <v>255</v>
      </c>
    </row>
    <row r="254" spans="4:21" ht="15.6" x14ac:dyDescent="0.3">
      <c r="D254" s="109" t="str">
        <f>$A$29</f>
        <v>MUITO BOM / ÓTIMO</v>
      </c>
      <c r="E254" s="98">
        <f>E246+E247</f>
        <v>0.60344827586206895</v>
      </c>
      <c r="F254" s="99">
        <f>F246+F247</f>
        <v>0.73333333333333328</v>
      </c>
      <c r="G254" s="34">
        <f>(F254-E254)*100</f>
        <v>12.988505747126434</v>
      </c>
      <c r="T254" s="109" t="str">
        <f>$A$29</f>
        <v>MUITO BOM / ÓTIMO</v>
      </c>
      <c r="U254" s="114">
        <f>U246+U247</f>
        <v>0.66019417475728159</v>
      </c>
    </row>
    <row r="255" spans="4:21" ht="15.6" x14ac:dyDescent="0.3">
      <c r="D255" s="110" t="str">
        <f>$A$30</f>
        <v>BOM</v>
      </c>
      <c r="E255" s="100">
        <f>E248</f>
        <v>0.10344827586206896</v>
      </c>
      <c r="F255" s="101">
        <f>F248</f>
        <v>0.1111111111111111</v>
      </c>
      <c r="G255" s="34">
        <f>(F255-E255)*100</f>
        <v>0.76628352490421414</v>
      </c>
      <c r="T255" s="110" t="str">
        <f>$A$30</f>
        <v>BOM</v>
      </c>
      <c r="U255" s="115">
        <f>U248</f>
        <v>0.10679611650485436</v>
      </c>
    </row>
    <row r="256" spans="4:21" ht="15.6" x14ac:dyDescent="0.3">
      <c r="D256" s="110" t="str">
        <f>$A$31</f>
        <v>RUIM / REGULAR</v>
      </c>
      <c r="E256" s="100">
        <f>E249+E250</f>
        <v>0.12068965517241378</v>
      </c>
      <c r="F256" s="101">
        <f>F249+F250</f>
        <v>4.4444444444444446E-2</v>
      </c>
      <c r="G256" s="34">
        <f>(F256-E256)*100</f>
        <v>-7.6245210727969335</v>
      </c>
      <c r="P256" s="18"/>
      <c r="T256" s="110" t="str">
        <f>$A$31</f>
        <v>RUIM / REGULAR</v>
      </c>
      <c r="U256" s="115">
        <f>U249+U250</f>
        <v>8.7378640776699018E-2</v>
      </c>
    </row>
    <row r="257" spans="4:21" ht="15.6" x14ac:dyDescent="0.3">
      <c r="D257" s="111" t="str">
        <f>$A$32</f>
        <v>NÃO SE APLICA / NÃO SEI</v>
      </c>
      <c r="E257" s="102">
        <f>E251</f>
        <v>0.17241379310344829</v>
      </c>
      <c r="F257" s="103">
        <f>F251</f>
        <v>0.1111111111111111</v>
      </c>
      <c r="G257" s="34">
        <f>(F257-E257)*100</f>
        <v>-6.1302681992337185</v>
      </c>
      <c r="P257" s="21"/>
      <c r="T257" s="111" t="str">
        <f>$A$32</f>
        <v>NÃO SE APLICA / NÃO SEI</v>
      </c>
      <c r="U257" s="116">
        <f>U251</f>
        <v>0.14563106796116504</v>
      </c>
    </row>
    <row r="258" spans="4:21" ht="15.6" x14ac:dyDescent="0.3">
      <c r="D258" s="105">
        <f>(SUM(E254:E257))</f>
        <v>1</v>
      </c>
      <c r="E258" s="106" t="str">
        <f>IF(D258=100%, "CORRETO","ERRO")</f>
        <v>CORRETO</v>
      </c>
      <c r="F258" s="106" t="str">
        <f>IF(D259=100%, "CORRETO","ERRO")</f>
        <v>CORRETO</v>
      </c>
      <c r="O258" s="16"/>
      <c r="P258" s="18"/>
      <c r="T258" s="105">
        <f>(SUM(U254:U257))</f>
        <v>1</v>
      </c>
      <c r="U258" s="106" t="str">
        <f>IF(T258=100%, "CORRETO","ERRO")</f>
        <v>CORRETO</v>
      </c>
    </row>
    <row r="259" spans="4:21" ht="15.6" x14ac:dyDescent="0.3">
      <c r="D259" s="105">
        <f>(SUM(F254:F257))</f>
        <v>0.99999999999999978</v>
      </c>
      <c r="O259" s="16"/>
      <c r="P259" s="18"/>
    </row>
    <row r="262" spans="4:21" ht="30" x14ac:dyDescent="0.3">
      <c r="E262" s="32" t="s">
        <v>262</v>
      </c>
      <c r="F262" s="37" t="str">
        <f>'1-Autoavaliacao-Institucional'!S1</f>
        <v>18-	As políticas do PGMAT em relação a apoios (participação em congressos e eventos científicos, missões de trabalho, revisão de artigos científicos em inglês, manutenção de equipamentos, atas de reuniões, entre outros) têm sido suficientes ?</v>
      </c>
      <c r="Q262" s="22"/>
      <c r="R262" s="22"/>
      <c r="S262" s="22"/>
    </row>
    <row r="263" spans="4:21" ht="22.5" customHeight="1" x14ac:dyDescent="0.25">
      <c r="E263" s="22"/>
      <c r="F263" s="22"/>
      <c r="G263" s="22"/>
      <c r="H263" s="22"/>
      <c r="I263" s="22"/>
      <c r="J263" s="22"/>
      <c r="K263" s="22"/>
      <c r="L263" s="22"/>
      <c r="M263" s="22"/>
      <c r="N263" s="22"/>
      <c r="Q263" s="22"/>
      <c r="R263" s="22"/>
      <c r="S263" s="22"/>
    </row>
    <row r="264" spans="4:21" ht="22.5" customHeight="1" x14ac:dyDescent="0.3">
      <c r="E264" s="23" t="s">
        <v>245</v>
      </c>
      <c r="F264" s="23" t="s">
        <v>246</v>
      </c>
      <c r="H264" s="22"/>
      <c r="I264" s="22"/>
      <c r="J264" s="22"/>
      <c r="K264" s="22"/>
      <c r="L264" s="22"/>
      <c r="M264" s="22"/>
      <c r="N264" s="22"/>
      <c r="Q264" s="22"/>
      <c r="R264" s="22"/>
      <c r="S264" s="22"/>
      <c r="T264" s="36" t="str">
        <f>E262</f>
        <v>QUESTÃO 18</v>
      </c>
      <c r="U264" s="117"/>
    </row>
    <row r="265" spans="4:21" ht="22.5" customHeight="1" x14ac:dyDescent="0.25">
      <c r="D265" s="66" t="str">
        <f>$A$21</f>
        <v>5-ÓTIMO</v>
      </c>
      <c r="E265" s="24">
        <f>'1-Autoavaliacao-Institucional'!S63</f>
        <v>0.20689655172413793</v>
      </c>
      <c r="F265" s="25">
        <f>'1-Autoavaliacao-Institucional'!S128</f>
        <v>0.24444444444444444</v>
      </c>
      <c r="H265" s="22"/>
      <c r="T265" s="76" t="str">
        <f t="shared" ref="T265:T270" si="13">D265</f>
        <v>5-ÓTIMO</v>
      </c>
      <c r="U265" s="149">
        <f>(COUNTIFS('1-Autoavaliacao-Institucional'!S$2:S$59,5)+COUNTIFS('1-Autoavaliacao-Institucional'!S$77:S$121,5))/$A$17</f>
        <v>0.22330097087378642</v>
      </c>
    </row>
    <row r="266" spans="4:21" ht="15" x14ac:dyDescent="0.25">
      <c r="D266" s="67" t="str">
        <f>$A$22</f>
        <v>4-MUITO BOM</v>
      </c>
      <c r="E266" s="26">
        <f>'1-Autoavaliacao-Institucional'!S64</f>
        <v>0.36206896551724138</v>
      </c>
      <c r="F266" s="27">
        <f>'1-Autoavaliacao-Institucional'!S129</f>
        <v>0.35555555555555557</v>
      </c>
      <c r="T266" s="77" t="str">
        <f t="shared" si="13"/>
        <v>4-MUITO BOM</v>
      </c>
      <c r="U266" s="150">
        <f>(COUNTIFS('1-Autoavaliacao-Institucional'!S$2:S$59,4)+COUNTIFS('1-Autoavaliacao-Institucional'!S$77:S$121,4))/$A$17</f>
        <v>0.35922330097087379</v>
      </c>
    </row>
    <row r="267" spans="4:21" ht="15" x14ac:dyDescent="0.25">
      <c r="D267" s="67" t="str">
        <f>$A$23</f>
        <v>3-BOM</v>
      </c>
      <c r="E267" s="26">
        <f>'1-Autoavaliacao-Institucional'!S65</f>
        <v>0.15517241379310345</v>
      </c>
      <c r="F267" s="27">
        <f>'1-Autoavaliacao-Institucional'!S130</f>
        <v>0.1111111111111111</v>
      </c>
      <c r="T267" s="77" t="str">
        <f t="shared" si="13"/>
        <v>3-BOM</v>
      </c>
      <c r="U267" s="150">
        <f>(COUNTIFS('1-Autoavaliacao-Institucional'!S$2:S$59,3)+COUNTIFS('1-Autoavaliacao-Institucional'!S$77:S$121,3))/$A$17</f>
        <v>0.13592233009708737</v>
      </c>
    </row>
    <row r="268" spans="4:21" ht="15" x14ac:dyDescent="0.25">
      <c r="D268" s="67" t="str">
        <f>$A$24</f>
        <v>2-REGULAR</v>
      </c>
      <c r="E268" s="26">
        <f>'1-Autoavaliacao-Institucional'!S66</f>
        <v>0.1206896551724138</v>
      </c>
      <c r="F268" s="27">
        <f>'1-Autoavaliacao-Institucional'!S131</f>
        <v>0.1111111111111111</v>
      </c>
      <c r="T268" s="77" t="str">
        <f t="shared" si="13"/>
        <v>2-REGULAR</v>
      </c>
      <c r="U268" s="150">
        <f>(COUNTIFS('1-Autoavaliacao-Institucional'!S$2:S$59,2)+COUNTIFS('1-Autoavaliacao-Institucional'!S$77:S$121,2))/$A$17</f>
        <v>0.11650485436893204</v>
      </c>
    </row>
    <row r="269" spans="4:21" ht="15" x14ac:dyDescent="0.25">
      <c r="D269" s="67" t="str">
        <f>$A$25</f>
        <v>1-RUIM</v>
      </c>
      <c r="E269" s="26">
        <f>'1-Autoavaliacao-Institucional'!S67</f>
        <v>3.4482758620689655E-2</v>
      </c>
      <c r="F269" s="27">
        <f>'1-Autoavaliacao-Institucional'!S132</f>
        <v>4.4444444444444446E-2</v>
      </c>
      <c r="T269" s="77" t="str">
        <f t="shared" si="13"/>
        <v>1-RUIM</v>
      </c>
      <c r="U269" s="150">
        <f>(COUNTIFS('1-Autoavaliacao-Institucional'!S$2:S$59,1)+COUNTIFS('1-Autoavaliacao-Institucional'!S$77:S$121,1))/$A$17</f>
        <v>3.8834951456310676E-2</v>
      </c>
    </row>
    <row r="270" spans="4:21" ht="15" x14ac:dyDescent="0.25">
      <c r="D270" s="68" t="str">
        <f>$A$26</f>
        <v>0-NÃO SE APLICA</v>
      </c>
      <c r="E270" s="28">
        <f>'1-Autoavaliacao-Institucional'!S68</f>
        <v>0.1206896551724138</v>
      </c>
      <c r="F270" s="29">
        <f>'1-Autoavaliacao-Institucional'!S133</f>
        <v>0.13333333333333333</v>
      </c>
      <c r="T270" s="78" t="str">
        <f t="shared" si="13"/>
        <v>0-NÃO SE APLICA</v>
      </c>
      <c r="U270" s="151">
        <f>(COUNTIFS('1-Autoavaliacao-Institucional'!S$2:S$59,0)+COUNTIFS('1-Autoavaliacao-Institucional'!S$77:S$121,0))/$A$17</f>
        <v>0.12621359223300971</v>
      </c>
    </row>
    <row r="271" spans="4:21" ht="15.6" x14ac:dyDescent="0.3">
      <c r="D271" s="35"/>
      <c r="E271" s="18"/>
      <c r="T271" s="35"/>
    </row>
    <row r="272" spans="4:21" ht="15.6" x14ac:dyDescent="0.3">
      <c r="D272" s="112"/>
      <c r="E272" s="113" t="s">
        <v>245</v>
      </c>
      <c r="F272" s="113" t="s">
        <v>246</v>
      </c>
      <c r="G272" s="75" t="s">
        <v>251</v>
      </c>
      <c r="T272" s="79" t="str">
        <f>T264</f>
        <v>QUESTÃO 18</v>
      </c>
      <c r="U272" s="113" t="s">
        <v>255</v>
      </c>
    </row>
    <row r="273" spans="4:21" ht="15.6" x14ac:dyDescent="0.3">
      <c r="D273" s="109" t="str">
        <f>$A$29</f>
        <v>MUITO BOM / ÓTIMO</v>
      </c>
      <c r="E273" s="98">
        <f>E265+E266</f>
        <v>0.56896551724137934</v>
      </c>
      <c r="F273" s="99">
        <f>F265+F266</f>
        <v>0.6</v>
      </c>
      <c r="G273" s="34">
        <f>(F273-E273)*100</f>
        <v>3.1034482758620641</v>
      </c>
      <c r="T273" s="109" t="str">
        <f>$A$29</f>
        <v>MUITO BOM / ÓTIMO</v>
      </c>
      <c r="U273" s="114">
        <f>U265+U266</f>
        <v>0.58252427184466016</v>
      </c>
    </row>
    <row r="274" spans="4:21" ht="15.6" x14ac:dyDescent="0.3">
      <c r="D274" s="110" t="str">
        <f>$A$30</f>
        <v>BOM</v>
      </c>
      <c r="E274" s="100">
        <f>E267</f>
        <v>0.15517241379310345</v>
      </c>
      <c r="F274" s="101">
        <f>F267</f>
        <v>0.1111111111111111</v>
      </c>
      <c r="G274" s="34">
        <f>(F274-E274)*100</f>
        <v>-4.4061302681992345</v>
      </c>
      <c r="T274" s="110" t="str">
        <f>$A$30</f>
        <v>BOM</v>
      </c>
      <c r="U274" s="115">
        <f>U267</f>
        <v>0.13592233009708737</v>
      </c>
    </row>
    <row r="275" spans="4:21" ht="15.6" x14ac:dyDescent="0.3">
      <c r="D275" s="110" t="str">
        <f>$A$31</f>
        <v>RUIM / REGULAR</v>
      </c>
      <c r="E275" s="100">
        <f>E268+E269</f>
        <v>0.15517241379310345</v>
      </c>
      <c r="F275" s="101">
        <f>F268+F269</f>
        <v>0.15555555555555556</v>
      </c>
      <c r="G275" s="34">
        <f>(F275-E275)*100</f>
        <v>3.8314176245210496E-2</v>
      </c>
      <c r="P275" s="18"/>
      <c r="T275" s="110" t="str">
        <f>$A$31</f>
        <v>RUIM / REGULAR</v>
      </c>
      <c r="U275" s="115">
        <f>U268+U269</f>
        <v>0.1553398058252427</v>
      </c>
    </row>
    <row r="276" spans="4:21" ht="15.6" x14ac:dyDescent="0.3">
      <c r="D276" s="111" t="str">
        <f>$A$32</f>
        <v>NÃO SE APLICA / NÃO SEI</v>
      </c>
      <c r="E276" s="102">
        <f>E270</f>
        <v>0.1206896551724138</v>
      </c>
      <c r="F276" s="103">
        <f>F270</f>
        <v>0.13333333333333333</v>
      </c>
      <c r="G276" s="34">
        <f>(F276-E276)*100</f>
        <v>1.2643678160919534</v>
      </c>
      <c r="P276" s="21"/>
      <c r="T276" s="111" t="str">
        <f>$A$32</f>
        <v>NÃO SE APLICA / NÃO SEI</v>
      </c>
      <c r="U276" s="116">
        <f>U270</f>
        <v>0.12621359223300971</v>
      </c>
    </row>
    <row r="277" spans="4:21" ht="15.6" x14ac:dyDescent="0.3">
      <c r="D277" s="105">
        <f>(SUM(E273:E276))</f>
        <v>1</v>
      </c>
      <c r="E277" s="106" t="str">
        <f>IF(D277=100%, "CORRETO","ERRO")</f>
        <v>CORRETO</v>
      </c>
      <c r="F277" s="106" t="str">
        <f>IF(D278=100%, "CORRETO","ERRO")</f>
        <v>CORRETO</v>
      </c>
      <c r="O277" s="16"/>
      <c r="P277" s="18"/>
      <c r="T277" s="105">
        <f>(SUM(U273:U276))</f>
        <v>0.99999999999999978</v>
      </c>
      <c r="U277" s="106" t="str">
        <f>IF(T277=100%, "CORRETO","ERRO")</f>
        <v>CORRETO</v>
      </c>
    </row>
    <row r="278" spans="4:21" ht="15.6" x14ac:dyDescent="0.3">
      <c r="D278" s="105">
        <f>(SUM(F273:F276))</f>
        <v>0.99999999999999989</v>
      </c>
      <c r="O278" s="16"/>
      <c r="P278" s="18"/>
    </row>
    <row r="282" spans="4:21" ht="18" customHeight="1" x14ac:dyDescent="0.3">
      <c r="E282" s="32" t="s">
        <v>263</v>
      </c>
      <c r="F282" s="37" t="str">
        <f>'1-Autoavaliacao-Institucional'!T1</f>
        <v>19-	O PGMAT tem contribuído com o uso de tecnologias digitais em educação ?</v>
      </c>
      <c r="Q282" s="22"/>
      <c r="R282" s="22"/>
      <c r="S282" s="22"/>
      <c r="T282" s="36" t="str">
        <f>E282</f>
        <v>QUESTÃO 19</v>
      </c>
      <c r="U282" s="117"/>
    </row>
    <row r="283" spans="4:21" ht="18" customHeight="1" x14ac:dyDescent="0.25">
      <c r="E283" s="22"/>
      <c r="F283" s="22"/>
      <c r="G283" s="22"/>
      <c r="H283" s="22"/>
      <c r="I283" s="22"/>
      <c r="J283" s="22"/>
      <c r="K283" s="22"/>
      <c r="L283" s="22"/>
      <c r="M283" s="22"/>
      <c r="N283" s="22"/>
      <c r="Q283" s="22"/>
      <c r="R283" s="22"/>
      <c r="S283" s="22"/>
      <c r="T283" s="19"/>
      <c r="U283" s="16"/>
    </row>
    <row r="284" spans="4:21" ht="18" customHeight="1" x14ac:dyDescent="0.3">
      <c r="E284" s="23" t="s">
        <v>245</v>
      </c>
      <c r="F284" s="23" t="s">
        <v>246</v>
      </c>
      <c r="H284" s="22"/>
      <c r="I284" s="22"/>
      <c r="J284" s="22"/>
      <c r="K284" s="22"/>
      <c r="L284" s="22"/>
      <c r="M284" s="22"/>
      <c r="N284" s="22"/>
      <c r="Q284" s="22"/>
      <c r="R284" s="22"/>
      <c r="S284" s="22"/>
      <c r="T284" s="76" t="str">
        <f t="shared" ref="T284:T289" si="14">D285</f>
        <v>5-ÓTIMO</v>
      </c>
      <c r="U284" s="149">
        <f>(COUNTIFS('1-Autoavaliacao-Institucional'!T$2:T$59,5)+COUNTIFS('1-Autoavaliacao-Institucional'!T$77:T$121,5))/$A$17</f>
        <v>0.28155339805825241</v>
      </c>
    </row>
    <row r="285" spans="4:21" ht="18" customHeight="1" x14ac:dyDescent="0.25">
      <c r="D285" s="66" t="str">
        <f>$A$21</f>
        <v>5-ÓTIMO</v>
      </c>
      <c r="E285" s="24">
        <f>'1-Autoavaliacao-Institucional'!T63</f>
        <v>0.2413793103448276</v>
      </c>
      <c r="F285" s="25">
        <f>'1-Autoavaliacao-Institucional'!T128</f>
        <v>0.33333333333333331</v>
      </c>
      <c r="H285" s="22"/>
      <c r="T285" s="77" t="str">
        <f t="shared" si="14"/>
        <v>4-MUITO BOM</v>
      </c>
      <c r="U285" s="150">
        <f>(COUNTIFS('1-Autoavaliacao-Institucional'!T$2:T$59,4)+COUNTIFS('1-Autoavaliacao-Institucional'!T$77:T$121,4))/$A$17</f>
        <v>0.20388349514563106</v>
      </c>
    </row>
    <row r="286" spans="4:21" ht="15" x14ac:dyDescent="0.25">
      <c r="D286" s="67" t="str">
        <f>$A$22</f>
        <v>4-MUITO BOM</v>
      </c>
      <c r="E286" s="26">
        <f>'1-Autoavaliacao-Institucional'!T64</f>
        <v>0.18965517241379309</v>
      </c>
      <c r="F286" s="27">
        <f>'1-Autoavaliacao-Institucional'!T129</f>
        <v>0.22222222222222221</v>
      </c>
      <c r="T286" s="77" t="str">
        <f t="shared" si="14"/>
        <v>3-BOM</v>
      </c>
      <c r="U286" s="150">
        <f>(COUNTIFS('1-Autoavaliacao-Institucional'!T$2:T$59,3)+COUNTIFS('1-Autoavaliacao-Institucional'!T$77:T$121,3))/$A$17</f>
        <v>0.1650485436893204</v>
      </c>
    </row>
    <row r="287" spans="4:21" ht="15" x14ac:dyDescent="0.25">
      <c r="D287" s="67" t="str">
        <f>$A$23</f>
        <v>3-BOM</v>
      </c>
      <c r="E287" s="26">
        <f>'1-Autoavaliacao-Institucional'!T65</f>
        <v>0.17241379310344829</v>
      </c>
      <c r="F287" s="27">
        <f>'1-Autoavaliacao-Institucional'!T130</f>
        <v>0.15555555555555556</v>
      </c>
      <c r="T287" s="77" t="str">
        <f t="shared" si="14"/>
        <v>2-REGULAR</v>
      </c>
      <c r="U287" s="150">
        <f>(COUNTIFS('1-Autoavaliacao-Institucional'!T$2:T$59,2)+COUNTIFS('1-Autoavaliacao-Institucional'!T$77:T$121,2))/$A$17</f>
        <v>4.8543689320388349E-2</v>
      </c>
    </row>
    <row r="288" spans="4:21" ht="15" x14ac:dyDescent="0.25">
      <c r="D288" s="67" t="str">
        <f>$A$24</f>
        <v>2-REGULAR</v>
      </c>
      <c r="E288" s="26">
        <f>'1-Autoavaliacao-Institucional'!T66</f>
        <v>3.4482758620689655E-2</v>
      </c>
      <c r="F288" s="27">
        <f>'1-Autoavaliacao-Institucional'!T131</f>
        <v>6.6666666666666666E-2</v>
      </c>
      <c r="T288" s="77" t="str">
        <f t="shared" si="14"/>
        <v>1-RUIM</v>
      </c>
      <c r="U288" s="150">
        <f>(COUNTIFS('1-Autoavaliacao-Institucional'!T$2:T$59,1)+COUNTIFS('1-Autoavaliacao-Institucional'!T$77:T$121,1))/$A$17</f>
        <v>9.7087378640776691E-3</v>
      </c>
    </row>
    <row r="289" spans="4:21" ht="15" x14ac:dyDescent="0.25">
      <c r="D289" s="67" t="str">
        <f>$A$25</f>
        <v>1-RUIM</v>
      </c>
      <c r="E289" s="26">
        <f>'1-Autoavaliacao-Institucional'!T67</f>
        <v>1.7241379310344827E-2</v>
      </c>
      <c r="F289" s="27">
        <f>'1-Autoavaliacao-Institucional'!T132</f>
        <v>0</v>
      </c>
      <c r="T289" s="78" t="str">
        <f t="shared" si="14"/>
        <v>0-NÃO SE APLICA</v>
      </c>
      <c r="U289" s="151">
        <f>(COUNTIFS('1-Autoavaliacao-Institucional'!T$2:T$59,0)+COUNTIFS('1-Autoavaliacao-Institucional'!T$77:T$121,0))/$A$17</f>
        <v>0.29126213592233008</v>
      </c>
    </row>
    <row r="290" spans="4:21" ht="15" x14ac:dyDescent="0.25">
      <c r="D290" s="68" t="str">
        <f>$A$26</f>
        <v>0-NÃO SE APLICA</v>
      </c>
      <c r="E290" s="28">
        <f>'1-Autoavaliacao-Institucional'!T68</f>
        <v>0.34482758620689657</v>
      </c>
      <c r="F290" s="29">
        <f>'1-Autoavaliacao-Institucional'!T133</f>
        <v>0.22222222222222221</v>
      </c>
    </row>
    <row r="291" spans="4:21" ht="15.6" x14ac:dyDescent="0.3">
      <c r="D291" s="35"/>
      <c r="E291" s="18"/>
      <c r="T291" s="79" t="str">
        <f>T282</f>
        <v>QUESTÃO 19</v>
      </c>
      <c r="U291" s="113" t="s">
        <v>255</v>
      </c>
    </row>
    <row r="292" spans="4:21" ht="15.6" x14ac:dyDescent="0.3">
      <c r="D292" s="112"/>
      <c r="E292" s="113" t="s">
        <v>245</v>
      </c>
      <c r="F292" s="113" t="s">
        <v>246</v>
      </c>
      <c r="G292" s="75" t="s">
        <v>251</v>
      </c>
      <c r="T292" s="109" t="str">
        <f>$A$29</f>
        <v>MUITO BOM / ÓTIMO</v>
      </c>
      <c r="U292" s="114">
        <f>U284+U285</f>
        <v>0.4854368932038835</v>
      </c>
    </row>
    <row r="293" spans="4:21" ht="15.6" x14ac:dyDescent="0.3">
      <c r="D293" s="109" t="str">
        <f>$A$29</f>
        <v>MUITO BOM / ÓTIMO</v>
      </c>
      <c r="E293" s="98">
        <f>E285+E286</f>
        <v>0.43103448275862066</v>
      </c>
      <c r="F293" s="99">
        <f>F285+F286</f>
        <v>0.55555555555555558</v>
      </c>
      <c r="G293" s="34">
        <f>(F293-E293)*100</f>
        <v>12.452107279693491</v>
      </c>
      <c r="T293" s="110" t="str">
        <f>$A$30</f>
        <v>BOM</v>
      </c>
      <c r="U293" s="115">
        <f>U286</f>
        <v>0.1650485436893204</v>
      </c>
    </row>
    <row r="294" spans="4:21" ht="15.6" x14ac:dyDescent="0.3">
      <c r="D294" s="110" t="str">
        <f>$A$30</f>
        <v>BOM</v>
      </c>
      <c r="E294" s="100">
        <f>E287</f>
        <v>0.17241379310344829</v>
      </c>
      <c r="F294" s="101">
        <f>F287</f>
        <v>0.15555555555555556</v>
      </c>
      <c r="G294" s="34">
        <f>(F294-E294)*100</f>
        <v>-1.6858237547892729</v>
      </c>
      <c r="T294" s="110" t="str">
        <f>$A$31</f>
        <v>RUIM / REGULAR</v>
      </c>
      <c r="U294" s="115">
        <f>U287+U288</f>
        <v>5.8252427184466021E-2</v>
      </c>
    </row>
    <row r="295" spans="4:21" ht="15.6" x14ac:dyDescent="0.3">
      <c r="D295" s="110" t="str">
        <f>$A$31</f>
        <v>RUIM / REGULAR</v>
      </c>
      <c r="E295" s="100">
        <f>E288+E289</f>
        <v>5.1724137931034482E-2</v>
      </c>
      <c r="F295" s="101">
        <f>F288+F289</f>
        <v>6.6666666666666666E-2</v>
      </c>
      <c r="G295" s="34">
        <f>(F295-E295)*100</f>
        <v>1.4942528735632183</v>
      </c>
      <c r="P295" s="18"/>
      <c r="T295" s="111" t="str">
        <f>$A$32</f>
        <v>NÃO SE APLICA / NÃO SEI</v>
      </c>
      <c r="U295" s="116">
        <f>U289</f>
        <v>0.29126213592233008</v>
      </c>
    </row>
    <row r="296" spans="4:21" ht="15.6" x14ac:dyDescent="0.3">
      <c r="D296" s="111" t="str">
        <f>$A$32</f>
        <v>NÃO SE APLICA / NÃO SEI</v>
      </c>
      <c r="E296" s="102">
        <f>E290</f>
        <v>0.34482758620689657</v>
      </c>
      <c r="F296" s="103">
        <f>F290</f>
        <v>0.22222222222222221</v>
      </c>
      <c r="G296" s="34">
        <f>(F296-E296)*100</f>
        <v>-12.260536398467437</v>
      </c>
      <c r="P296" s="21"/>
      <c r="T296" s="105">
        <f>(SUM(U292:U295))</f>
        <v>1</v>
      </c>
      <c r="U296" s="106" t="str">
        <f>IF(T296=100%, "CORRETO","ERRO")</f>
        <v>CORRETO</v>
      </c>
    </row>
    <row r="297" spans="4:21" ht="15.6" x14ac:dyDescent="0.3">
      <c r="D297" s="105">
        <f>(SUM(E293:E296))</f>
        <v>1</v>
      </c>
      <c r="E297" s="106" t="str">
        <f>IF(D297=100%, "CORRETO","ERRO")</f>
        <v>CORRETO</v>
      </c>
      <c r="F297" s="106" t="str">
        <f>IF(D298=100%, "CORRETO","ERRO")</f>
        <v>CORRETO</v>
      </c>
      <c r="O297" s="16"/>
      <c r="P297" s="18"/>
    </row>
    <row r="298" spans="4:21" ht="15.6" x14ac:dyDescent="0.3">
      <c r="D298" s="105">
        <f>(SUM(F293:F296))</f>
        <v>1</v>
      </c>
      <c r="O298" s="16"/>
      <c r="P298" s="18"/>
    </row>
    <row r="302" spans="4:21" ht="19.5" customHeight="1" x14ac:dyDescent="0.3">
      <c r="E302" s="32" t="s">
        <v>264</v>
      </c>
      <c r="F302" s="37" t="str">
        <f>'1-Autoavaliacao-Institucional'!U1</f>
        <v>20-	O PGMAT, com o apoio da UFSC, tem disponibilizado recursos suficientes para a realização de suas atividades acadêmicas NÃO PRESENCIAIS ?</v>
      </c>
      <c r="Q302" s="22"/>
      <c r="R302" s="22"/>
      <c r="S302" s="22"/>
      <c r="T302" s="36" t="str">
        <f>E302</f>
        <v>QUESTÃO 20</v>
      </c>
      <c r="U302" s="117"/>
    </row>
    <row r="303" spans="4:21" ht="19.5" customHeight="1" x14ac:dyDescent="0.25">
      <c r="E303" s="22"/>
      <c r="F303" s="22"/>
      <c r="G303" s="22"/>
      <c r="H303" s="22"/>
      <c r="I303" s="22"/>
      <c r="J303" s="22"/>
      <c r="K303" s="22"/>
      <c r="L303" s="22"/>
      <c r="M303" s="22"/>
      <c r="N303" s="22"/>
      <c r="Q303" s="22"/>
      <c r="R303" s="22"/>
      <c r="S303" s="22"/>
      <c r="T303" s="19"/>
      <c r="U303" s="16"/>
    </row>
    <row r="304" spans="4:21" ht="19.5" customHeight="1" x14ac:dyDescent="0.3">
      <c r="E304" s="23" t="s">
        <v>245</v>
      </c>
      <c r="F304" s="23" t="s">
        <v>246</v>
      </c>
      <c r="H304" s="22"/>
      <c r="I304" s="22"/>
      <c r="J304" s="22"/>
      <c r="K304" s="22"/>
      <c r="L304" s="22"/>
      <c r="M304" s="22"/>
      <c r="N304" s="22"/>
      <c r="Q304" s="22"/>
      <c r="R304" s="22"/>
      <c r="S304" s="22"/>
      <c r="T304" s="76" t="str">
        <f t="shared" ref="T304:T309" si="15">D305</f>
        <v>5-ÓTIMO</v>
      </c>
      <c r="U304" s="149">
        <f>(COUNTIFS('1-Autoavaliacao-Institucional'!U$2:U$59,5)+COUNTIFS('1-Autoavaliacao-Institucional'!U$77:U$121,5))/$A$17</f>
        <v>0.3300970873786408</v>
      </c>
    </row>
    <row r="305" spans="4:21" ht="19.5" customHeight="1" x14ac:dyDescent="0.25">
      <c r="D305" s="66" t="str">
        <f>$A$21</f>
        <v>5-ÓTIMO</v>
      </c>
      <c r="E305" s="24">
        <f>'1-Autoavaliacao-Institucional'!U63</f>
        <v>0.22413793103448276</v>
      </c>
      <c r="F305" s="25">
        <f>'1-Autoavaliacao-Institucional'!U128</f>
        <v>0.46666666666666667</v>
      </c>
      <c r="H305" s="22"/>
      <c r="T305" s="77" t="str">
        <f t="shared" si="15"/>
        <v>4-MUITO BOM</v>
      </c>
      <c r="U305" s="150">
        <f>(COUNTIFS('1-Autoavaliacao-Institucional'!U$2:U$59,4)+COUNTIFS('1-Autoavaliacao-Institucional'!U$77:U$121,4))/$A$17</f>
        <v>0.1553398058252427</v>
      </c>
    </row>
    <row r="306" spans="4:21" ht="15" x14ac:dyDescent="0.25">
      <c r="D306" s="67" t="str">
        <f>$A$22</f>
        <v>4-MUITO BOM</v>
      </c>
      <c r="E306" s="26">
        <f>'1-Autoavaliacao-Institucional'!U64</f>
        <v>0.17241379310344829</v>
      </c>
      <c r="F306" s="27">
        <f>'1-Autoavaliacao-Institucional'!U129</f>
        <v>0.13333333333333333</v>
      </c>
      <c r="T306" s="77" t="str">
        <f t="shared" si="15"/>
        <v>3-BOM</v>
      </c>
      <c r="U306" s="150">
        <f>(COUNTIFS('1-Autoavaliacao-Institucional'!U$2:U$59,3)+COUNTIFS('1-Autoavaliacao-Institucional'!U$77:U$121,3))/$A$17</f>
        <v>0.13592233009708737</v>
      </c>
    </row>
    <row r="307" spans="4:21" ht="15" x14ac:dyDescent="0.25">
      <c r="D307" s="67" t="str">
        <f>$A$23</f>
        <v>3-BOM</v>
      </c>
      <c r="E307" s="26">
        <f>'1-Autoavaliacao-Institucional'!U65</f>
        <v>0.18965517241379309</v>
      </c>
      <c r="F307" s="27">
        <f>'1-Autoavaliacao-Institucional'!U130</f>
        <v>6.6666666666666666E-2</v>
      </c>
      <c r="T307" s="77" t="str">
        <f t="shared" si="15"/>
        <v>2-REGULAR</v>
      </c>
      <c r="U307" s="150">
        <f>(COUNTIFS('1-Autoavaliacao-Institucional'!U$2:U$59,2)+COUNTIFS('1-Autoavaliacao-Institucional'!U$77:U$121,2))/$A$17</f>
        <v>1.9417475728155338E-2</v>
      </c>
    </row>
    <row r="308" spans="4:21" ht="15" x14ac:dyDescent="0.25">
      <c r="D308" s="67" t="str">
        <f>$A$24</f>
        <v>2-REGULAR</v>
      </c>
      <c r="E308" s="26">
        <f>'1-Autoavaliacao-Institucional'!U66</f>
        <v>0</v>
      </c>
      <c r="F308" s="27">
        <f>'1-Autoavaliacao-Institucional'!U131</f>
        <v>4.4444444444444446E-2</v>
      </c>
      <c r="T308" s="77" t="str">
        <f t="shared" si="15"/>
        <v>1-RUIM</v>
      </c>
      <c r="U308" s="150">
        <f>(COUNTIFS('1-Autoavaliacao-Institucional'!U$2:U$59,1)+COUNTIFS('1-Autoavaliacao-Institucional'!U$77:U$121,1))/$A$17</f>
        <v>2.9126213592233011E-2</v>
      </c>
    </row>
    <row r="309" spans="4:21" ht="15" x14ac:dyDescent="0.25">
      <c r="D309" s="67" t="str">
        <f>$A$25</f>
        <v>1-RUIM</v>
      </c>
      <c r="E309" s="26">
        <f>'1-Autoavaliacao-Institucional'!U67</f>
        <v>3.4482758620689655E-2</v>
      </c>
      <c r="F309" s="27">
        <f>'1-Autoavaliacao-Institucional'!U132</f>
        <v>2.2222222222222223E-2</v>
      </c>
      <c r="T309" s="78" t="str">
        <f t="shared" si="15"/>
        <v>0-NÃO SE APLICA</v>
      </c>
      <c r="U309" s="151">
        <f>(COUNTIFS('1-Autoavaliacao-Institucional'!U$2:U$59,0)+COUNTIFS('1-Autoavaliacao-Institucional'!U$77:U$121,0))/$A$17</f>
        <v>0.3300970873786408</v>
      </c>
    </row>
    <row r="310" spans="4:21" ht="15" x14ac:dyDescent="0.25">
      <c r="D310" s="68" t="str">
        <f>$A$26</f>
        <v>0-NÃO SE APLICA</v>
      </c>
      <c r="E310" s="28">
        <f>'1-Autoavaliacao-Institucional'!U68</f>
        <v>0.37931034482758619</v>
      </c>
      <c r="F310" s="29">
        <f>'1-Autoavaliacao-Institucional'!U133</f>
        <v>0.26666666666666666</v>
      </c>
    </row>
    <row r="311" spans="4:21" ht="15.6" x14ac:dyDescent="0.3">
      <c r="T311" s="79" t="str">
        <f>T302</f>
        <v>QUESTÃO 20</v>
      </c>
      <c r="U311" s="113" t="s">
        <v>255</v>
      </c>
    </row>
    <row r="312" spans="4:21" ht="15.6" x14ac:dyDescent="0.3">
      <c r="D312" s="112"/>
      <c r="E312" s="113" t="s">
        <v>245</v>
      </c>
      <c r="F312" s="113" t="s">
        <v>246</v>
      </c>
      <c r="G312" s="75" t="s">
        <v>251</v>
      </c>
      <c r="T312" s="109" t="str">
        <f>$A$29</f>
        <v>MUITO BOM / ÓTIMO</v>
      </c>
      <c r="U312" s="114">
        <f>U304+U305</f>
        <v>0.4854368932038835</v>
      </c>
    </row>
    <row r="313" spans="4:21" ht="15.6" x14ac:dyDescent="0.3">
      <c r="D313" s="109" t="str">
        <f>$A$29</f>
        <v>MUITO BOM / ÓTIMO</v>
      </c>
      <c r="E313" s="98">
        <f>E305+E306</f>
        <v>0.39655172413793105</v>
      </c>
      <c r="F313" s="99">
        <f>F305+F306</f>
        <v>0.6</v>
      </c>
      <c r="G313" s="34">
        <f>(F313-E313)*100</f>
        <v>20.344827586206893</v>
      </c>
      <c r="T313" s="110" t="str">
        <f>$A$30</f>
        <v>BOM</v>
      </c>
      <c r="U313" s="115">
        <f>U306</f>
        <v>0.13592233009708737</v>
      </c>
    </row>
    <row r="314" spans="4:21" ht="15.6" x14ac:dyDescent="0.3">
      <c r="D314" s="110" t="str">
        <f>$A$30</f>
        <v>BOM</v>
      </c>
      <c r="E314" s="100">
        <f>E307</f>
        <v>0.18965517241379309</v>
      </c>
      <c r="F314" s="101">
        <f>F307</f>
        <v>6.6666666666666666E-2</v>
      </c>
      <c r="G314" s="34">
        <f>(F314-E314)*100</f>
        <v>-12.298850574712644</v>
      </c>
      <c r="T314" s="110" t="str">
        <f>$A$31</f>
        <v>RUIM / REGULAR</v>
      </c>
      <c r="U314" s="115">
        <f>U307+U308</f>
        <v>4.8543689320388349E-2</v>
      </c>
    </row>
    <row r="315" spans="4:21" ht="15.6" x14ac:dyDescent="0.3">
      <c r="D315" s="110" t="str">
        <f>$A$31</f>
        <v>RUIM / REGULAR</v>
      </c>
      <c r="E315" s="100">
        <f>E308+E309</f>
        <v>3.4482758620689655E-2</v>
      </c>
      <c r="F315" s="101">
        <f>F308+F309</f>
        <v>6.6666666666666666E-2</v>
      </c>
      <c r="G315" s="34">
        <f>(F315-E315)*100</f>
        <v>3.2183908045977012</v>
      </c>
      <c r="P315" s="18"/>
      <c r="T315" s="111" t="str">
        <f>$A$32</f>
        <v>NÃO SE APLICA / NÃO SEI</v>
      </c>
      <c r="U315" s="116">
        <f>U309</f>
        <v>0.3300970873786408</v>
      </c>
    </row>
    <row r="316" spans="4:21" ht="15.6" x14ac:dyDescent="0.3">
      <c r="D316" s="111" t="str">
        <f>$A$32</f>
        <v>NÃO SE APLICA / NÃO SEI</v>
      </c>
      <c r="E316" s="102">
        <f>E310</f>
        <v>0.37931034482758619</v>
      </c>
      <c r="F316" s="103">
        <f>F310</f>
        <v>0.26666666666666666</v>
      </c>
      <c r="G316" s="34">
        <f>(F316-E316)*100</f>
        <v>-11.264367816091953</v>
      </c>
      <c r="P316" s="21"/>
      <c r="T316" s="105">
        <f>(SUM(U312:U315))</f>
        <v>1</v>
      </c>
      <c r="U316" s="106" t="str">
        <f>IF(T316=100%, "CORRETO","ERRO")</f>
        <v>CORRETO</v>
      </c>
    </row>
    <row r="317" spans="4:21" ht="15.6" x14ac:dyDescent="0.3">
      <c r="D317" s="105">
        <f>(SUM(E313:E316))</f>
        <v>1</v>
      </c>
      <c r="E317" s="106" t="str">
        <f>IF(D317=100%, "CORRETO","ERRO")</f>
        <v>CORRETO</v>
      </c>
      <c r="F317" s="106" t="str">
        <f>IF(D318=100%, "CORRETO","ERRO")</f>
        <v>CORRETO</v>
      </c>
      <c r="O317" s="16"/>
      <c r="P317" s="18"/>
    </row>
    <row r="318" spans="4:21" ht="15.6" x14ac:dyDescent="0.3">
      <c r="D318" s="105">
        <f>(SUM(F313:F316))</f>
        <v>1</v>
      </c>
      <c r="O318" s="16"/>
      <c r="P318" s="18"/>
    </row>
    <row r="323" spans="4:21" ht="17.25" customHeight="1" x14ac:dyDescent="0.3">
      <c r="E323" s="32" t="s">
        <v>265</v>
      </c>
      <c r="F323" s="37" t="str">
        <f>'1-Autoavaliacao-Institucional'!V1</f>
        <v>21-	O PGMAT, com o apoio da UFSC, tem disponibilizado recursos suficientes para a realização de suas atividades acadêmicas PRESENCIAIS (salas de aula, laboratórios) ?</v>
      </c>
      <c r="Q323" s="22"/>
      <c r="R323" s="22"/>
      <c r="S323" s="22"/>
    </row>
    <row r="324" spans="4:21" ht="17.25" customHeight="1" x14ac:dyDescent="0.25">
      <c r="E324" s="22"/>
      <c r="F324" s="22"/>
      <c r="G324" s="22"/>
      <c r="H324" s="22"/>
      <c r="I324" s="22"/>
      <c r="J324" s="22"/>
      <c r="K324" s="22"/>
      <c r="L324" s="22"/>
      <c r="M324" s="22"/>
      <c r="N324" s="22"/>
      <c r="Q324" s="22"/>
      <c r="R324" s="22"/>
      <c r="S324" s="22"/>
    </row>
    <row r="325" spans="4:21" ht="17.25" customHeight="1" x14ac:dyDescent="0.3">
      <c r="E325" s="23" t="s">
        <v>245</v>
      </c>
      <c r="F325" s="23" t="s">
        <v>246</v>
      </c>
      <c r="H325" s="22"/>
      <c r="I325" s="22"/>
      <c r="J325" s="22"/>
      <c r="K325" s="22"/>
      <c r="L325" s="22"/>
      <c r="M325" s="22"/>
      <c r="N325" s="22"/>
      <c r="Q325" s="22"/>
      <c r="R325" s="22"/>
      <c r="S325" s="22"/>
      <c r="T325" s="36" t="str">
        <f>E323</f>
        <v>QUESTÃO 21</v>
      </c>
      <c r="U325" s="117"/>
    </row>
    <row r="326" spans="4:21" ht="17.25" customHeight="1" x14ac:dyDescent="0.25">
      <c r="D326" s="66" t="str">
        <f>$A$21</f>
        <v>5-ÓTIMO</v>
      </c>
      <c r="E326" s="24">
        <f>'1-Autoavaliacao-Institucional'!V63</f>
        <v>0.43103448275862066</v>
      </c>
      <c r="F326" s="25">
        <f>'1-Autoavaliacao-Institucional'!V128</f>
        <v>0.4</v>
      </c>
      <c r="H326" s="22"/>
      <c r="T326" s="76" t="str">
        <f t="shared" ref="T326:T331" si="16">D326</f>
        <v>5-ÓTIMO</v>
      </c>
      <c r="U326" s="149">
        <f>(COUNTIFS('1-Autoavaliacao-Institucional'!V$2:V$59,5)+COUNTIFS('1-Autoavaliacao-Institucional'!V$77:V$121,5))/$A$17</f>
        <v>0.41747572815533979</v>
      </c>
    </row>
    <row r="327" spans="4:21" ht="15" x14ac:dyDescent="0.25">
      <c r="D327" s="67" t="str">
        <f>$A$22</f>
        <v>4-MUITO BOM</v>
      </c>
      <c r="E327" s="26">
        <f>'1-Autoavaliacao-Institucional'!V64</f>
        <v>0.32758620689655171</v>
      </c>
      <c r="F327" s="27">
        <f>'1-Autoavaliacao-Institucional'!V129</f>
        <v>0.22222222222222221</v>
      </c>
      <c r="T327" s="77" t="str">
        <f t="shared" si="16"/>
        <v>4-MUITO BOM</v>
      </c>
      <c r="U327" s="150">
        <f>(COUNTIFS('1-Autoavaliacao-Institucional'!V$2:V$59,4)+COUNTIFS('1-Autoavaliacao-Institucional'!V$77:V$121,4))/$A$17</f>
        <v>0.28155339805825241</v>
      </c>
    </row>
    <row r="328" spans="4:21" ht="15" x14ac:dyDescent="0.25">
      <c r="D328" s="67" t="str">
        <f>$A$23</f>
        <v>3-BOM</v>
      </c>
      <c r="E328" s="26">
        <f>'1-Autoavaliacao-Institucional'!V65</f>
        <v>3.4482758620689655E-2</v>
      </c>
      <c r="F328" s="27">
        <f>'1-Autoavaliacao-Institucional'!V130</f>
        <v>0.2</v>
      </c>
      <c r="T328" s="77" t="str">
        <f t="shared" si="16"/>
        <v>3-BOM</v>
      </c>
      <c r="U328" s="150">
        <f>(COUNTIFS('1-Autoavaliacao-Institucional'!V$2:V$59,3)+COUNTIFS('1-Autoavaliacao-Institucional'!V$77:V$121,3))/$A$17</f>
        <v>0.10679611650485436</v>
      </c>
    </row>
    <row r="329" spans="4:21" ht="15" x14ac:dyDescent="0.25">
      <c r="D329" s="67" t="str">
        <f>$A$24</f>
        <v>2-REGULAR</v>
      </c>
      <c r="E329" s="26">
        <f>'1-Autoavaliacao-Institucional'!V66</f>
        <v>0</v>
      </c>
      <c r="F329" s="27">
        <f>'1-Autoavaliacao-Institucional'!V131</f>
        <v>2.2222222222222223E-2</v>
      </c>
      <c r="T329" s="77" t="str">
        <f t="shared" si="16"/>
        <v>2-REGULAR</v>
      </c>
      <c r="U329" s="150">
        <f>(COUNTIFS('1-Autoavaliacao-Institucional'!V$2:V$59,2)+COUNTIFS('1-Autoavaliacao-Institucional'!V$77:V$121,2))/$A$17</f>
        <v>9.7087378640776691E-3</v>
      </c>
    </row>
    <row r="330" spans="4:21" ht="15" x14ac:dyDescent="0.25">
      <c r="D330" s="67" t="str">
        <f>$A$25</f>
        <v>1-RUIM</v>
      </c>
      <c r="E330" s="26">
        <f>'1-Autoavaliacao-Institucional'!V67</f>
        <v>3.4482758620689655E-2</v>
      </c>
      <c r="F330" s="27">
        <f>'1-Autoavaliacao-Institucional'!V132</f>
        <v>0</v>
      </c>
      <c r="T330" s="77" t="str">
        <f t="shared" si="16"/>
        <v>1-RUIM</v>
      </c>
      <c r="U330" s="150">
        <f>(COUNTIFS('1-Autoavaliacao-Institucional'!V$2:V$59,1)+COUNTIFS('1-Autoavaliacao-Institucional'!V$77:V$121,1))/$A$17</f>
        <v>1.9417475728155338E-2</v>
      </c>
    </row>
    <row r="331" spans="4:21" ht="15" x14ac:dyDescent="0.25">
      <c r="D331" s="68" t="str">
        <f>$A$26</f>
        <v>0-NÃO SE APLICA</v>
      </c>
      <c r="E331" s="28">
        <f>'1-Autoavaliacao-Institucional'!V68</f>
        <v>0.17241379310344829</v>
      </c>
      <c r="F331" s="29">
        <f>'1-Autoavaliacao-Institucional'!V133</f>
        <v>0.15555555555555556</v>
      </c>
      <c r="T331" s="78" t="str">
        <f t="shared" si="16"/>
        <v>0-NÃO SE APLICA</v>
      </c>
      <c r="U331" s="151">
        <f>(COUNTIFS('1-Autoavaliacao-Institucional'!V$2:V$59,0)+COUNTIFS('1-Autoavaliacao-Institucional'!V$77:V$121,0))/$A$17</f>
        <v>0.1650485436893204</v>
      </c>
    </row>
    <row r="332" spans="4:21" ht="15" x14ac:dyDescent="0.25">
      <c r="T332" s="35"/>
    </row>
    <row r="333" spans="4:21" ht="15.6" x14ac:dyDescent="0.3">
      <c r="D333" s="112"/>
      <c r="E333" s="113" t="s">
        <v>245</v>
      </c>
      <c r="F333" s="113" t="s">
        <v>246</v>
      </c>
      <c r="G333" s="75" t="s">
        <v>251</v>
      </c>
      <c r="T333" s="79" t="str">
        <f>T325</f>
        <v>QUESTÃO 21</v>
      </c>
      <c r="U333" s="113" t="s">
        <v>255</v>
      </c>
    </row>
    <row r="334" spans="4:21" ht="15.6" x14ac:dyDescent="0.3">
      <c r="D334" s="109" t="str">
        <f>$A$29</f>
        <v>MUITO BOM / ÓTIMO</v>
      </c>
      <c r="E334" s="98">
        <f>E326+E327</f>
        <v>0.75862068965517238</v>
      </c>
      <c r="F334" s="99">
        <f>F326+F327</f>
        <v>0.62222222222222223</v>
      </c>
      <c r="G334" s="34">
        <f>(F334-E334)*100</f>
        <v>-13.639846743295013</v>
      </c>
      <c r="T334" s="109" t="str">
        <f>$A$29</f>
        <v>MUITO BOM / ÓTIMO</v>
      </c>
      <c r="U334" s="114">
        <f>U326+U327</f>
        <v>0.69902912621359214</v>
      </c>
    </row>
    <row r="335" spans="4:21" ht="15.6" x14ac:dyDescent="0.3">
      <c r="D335" s="110" t="str">
        <f>$A$30</f>
        <v>BOM</v>
      </c>
      <c r="E335" s="100">
        <f>E328</f>
        <v>3.4482758620689655E-2</v>
      </c>
      <c r="F335" s="101">
        <f>F328</f>
        <v>0.2</v>
      </c>
      <c r="G335" s="34">
        <f>(F335-E335)*100</f>
        <v>16.551724137931036</v>
      </c>
      <c r="T335" s="110" t="str">
        <f>$A$30</f>
        <v>BOM</v>
      </c>
      <c r="U335" s="115">
        <f>U328</f>
        <v>0.10679611650485436</v>
      </c>
    </row>
    <row r="336" spans="4:21" ht="15.6" x14ac:dyDescent="0.3">
      <c r="D336" s="110" t="str">
        <f>$A$31</f>
        <v>RUIM / REGULAR</v>
      </c>
      <c r="E336" s="100">
        <f>E329+E330</f>
        <v>3.4482758620689655E-2</v>
      </c>
      <c r="F336" s="101">
        <f>F329+F330</f>
        <v>2.2222222222222223E-2</v>
      </c>
      <c r="G336" s="34">
        <f>(F336-E336)*100</f>
        <v>-1.2260536398467432</v>
      </c>
      <c r="P336" s="18"/>
      <c r="T336" s="110" t="str">
        <f>$A$31</f>
        <v>RUIM / REGULAR</v>
      </c>
      <c r="U336" s="115">
        <f>U329+U330</f>
        <v>2.9126213592233007E-2</v>
      </c>
    </row>
    <row r="337" spans="4:21" ht="15.6" x14ac:dyDescent="0.3">
      <c r="D337" s="111" t="str">
        <f>$A$32</f>
        <v>NÃO SE APLICA / NÃO SEI</v>
      </c>
      <c r="E337" s="102">
        <f>E331</f>
        <v>0.17241379310344829</v>
      </c>
      <c r="F337" s="103">
        <f>F331</f>
        <v>0.15555555555555556</v>
      </c>
      <c r="G337" s="34">
        <f>(F337-E337)*100</f>
        <v>-1.6858237547892729</v>
      </c>
      <c r="P337" s="21"/>
      <c r="T337" s="111" t="str">
        <f>$A$32</f>
        <v>NÃO SE APLICA / NÃO SEI</v>
      </c>
      <c r="U337" s="116">
        <f>U331</f>
        <v>0.1650485436893204</v>
      </c>
    </row>
    <row r="338" spans="4:21" ht="15.6" x14ac:dyDescent="0.3">
      <c r="D338" s="105">
        <f>(SUM(E334:E337))</f>
        <v>0.99999999999999989</v>
      </c>
      <c r="E338" s="106" t="str">
        <f>IF(D338=100%, "CORRETO","ERRO")</f>
        <v>CORRETO</v>
      </c>
      <c r="F338" s="106" t="str">
        <f>IF(D339=100%, "CORRETO","ERRO")</f>
        <v>CORRETO</v>
      </c>
      <c r="O338" s="16"/>
      <c r="P338" s="18"/>
      <c r="T338" s="105">
        <f>(SUM(U334:U337))</f>
        <v>0.99999999999999989</v>
      </c>
      <c r="U338" s="106" t="str">
        <f>IF(T338=100%, "CORRETO","ERRO")</f>
        <v>CORRETO</v>
      </c>
    </row>
    <row r="339" spans="4:21" ht="15.6" x14ac:dyDescent="0.3">
      <c r="D339" s="105">
        <f>(SUM(F334:F337))</f>
        <v>1</v>
      </c>
      <c r="O339" s="16"/>
      <c r="P339" s="18"/>
    </row>
    <row r="343" spans="4:21" ht="18" customHeight="1" x14ac:dyDescent="0.3">
      <c r="E343" s="32" t="s">
        <v>266</v>
      </c>
      <c r="F343" s="37" t="str">
        <f>'1-Autoavaliacao-Institucional'!W1</f>
        <v>22-	A qualidade da infraestrutura virtual no que se refere ao website do PGMAT tem sido suficiente ?</v>
      </c>
      <c r="Q343" s="22"/>
      <c r="R343" s="22"/>
      <c r="S343" s="22"/>
      <c r="T343" s="36" t="str">
        <f>E343</f>
        <v>QUESTÃO 22</v>
      </c>
      <c r="U343" s="117"/>
    </row>
    <row r="344" spans="4:21" ht="18" customHeight="1" x14ac:dyDescent="0.25">
      <c r="E344" s="22"/>
      <c r="F344" s="22"/>
      <c r="G344" s="22"/>
      <c r="H344" s="22"/>
      <c r="I344" s="22"/>
      <c r="J344" s="22"/>
      <c r="K344" s="22"/>
      <c r="L344" s="22"/>
      <c r="M344" s="22"/>
      <c r="N344" s="22"/>
      <c r="Q344" s="22"/>
      <c r="R344" s="22"/>
      <c r="S344" s="22"/>
      <c r="T344" s="19"/>
      <c r="U344" s="16"/>
    </row>
    <row r="345" spans="4:21" ht="18" customHeight="1" x14ac:dyDescent="0.3">
      <c r="E345" s="23" t="s">
        <v>245</v>
      </c>
      <c r="F345" s="23" t="s">
        <v>246</v>
      </c>
      <c r="H345" s="22"/>
      <c r="I345" s="22"/>
      <c r="J345" s="22"/>
      <c r="K345" s="22"/>
      <c r="L345" s="22"/>
      <c r="M345" s="22"/>
      <c r="N345" s="22"/>
      <c r="Q345" s="22"/>
      <c r="R345" s="22"/>
      <c r="S345" s="22"/>
      <c r="T345" s="76" t="str">
        <f t="shared" ref="T345:T350" si="17">D346</f>
        <v>5-ÓTIMO</v>
      </c>
      <c r="U345" s="149">
        <f>(COUNTIFS('1-Autoavaliacao-Institucional'!W$2:W$59,5)+COUNTIFS('1-Autoavaliacao-Institucional'!W$77:W$121,5))/$A$17</f>
        <v>0.33980582524271846</v>
      </c>
    </row>
    <row r="346" spans="4:21" ht="18" customHeight="1" x14ac:dyDescent="0.25">
      <c r="D346" s="66" t="str">
        <f>$A$21</f>
        <v>5-ÓTIMO</v>
      </c>
      <c r="E346" s="24">
        <f>'1-Autoavaliacao-Institucional'!W63</f>
        <v>0.31034482758620691</v>
      </c>
      <c r="F346" s="25">
        <f>'1-Autoavaliacao-Institucional'!W128</f>
        <v>0.37777777777777777</v>
      </c>
      <c r="H346" s="22"/>
      <c r="T346" s="77" t="str">
        <f t="shared" si="17"/>
        <v>4-MUITO BOM</v>
      </c>
      <c r="U346" s="150">
        <f>(COUNTIFS('1-Autoavaliacao-Institucional'!W$2:W$59,4)+COUNTIFS('1-Autoavaliacao-Institucional'!W$77:W$121,4))/$A$17</f>
        <v>0.33980582524271846</v>
      </c>
    </row>
    <row r="347" spans="4:21" ht="15" x14ac:dyDescent="0.25">
      <c r="D347" s="67" t="str">
        <f>$A$22</f>
        <v>4-MUITO BOM</v>
      </c>
      <c r="E347" s="26">
        <f>'1-Autoavaliacao-Institucional'!W64</f>
        <v>0.37931034482758619</v>
      </c>
      <c r="F347" s="27">
        <f>'1-Autoavaliacao-Institucional'!W129</f>
        <v>0.28888888888888886</v>
      </c>
      <c r="T347" s="77" t="str">
        <f t="shared" si="17"/>
        <v>3-BOM</v>
      </c>
      <c r="U347" s="150">
        <f>(COUNTIFS('1-Autoavaliacao-Institucional'!W$2:W$59,3)+COUNTIFS('1-Autoavaliacao-Institucional'!W$77:W$121,3))/$A$17</f>
        <v>0.12621359223300971</v>
      </c>
    </row>
    <row r="348" spans="4:21" ht="15" x14ac:dyDescent="0.25">
      <c r="D348" s="67" t="str">
        <f>$A$23</f>
        <v>3-BOM</v>
      </c>
      <c r="E348" s="26">
        <f>'1-Autoavaliacao-Institucional'!W65</f>
        <v>0.1206896551724138</v>
      </c>
      <c r="F348" s="27">
        <f>'1-Autoavaliacao-Institucional'!W130</f>
        <v>0.13333333333333333</v>
      </c>
      <c r="T348" s="77" t="str">
        <f t="shared" si="17"/>
        <v>2-REGULAR</v>
      </c>
      <c r="U348" s="150">
        <f>(COUNTIFS('1-Autoavaliacao-Institucional'!W$2:W$59,2)+COUNTIFS('1-Autoavaliacao-Institucional'!W$77:W$121,2))/$A$17</f>
        <v>2.9126213592233011E-2</v>
      </c>
    </row>
    <row r="349" spans="4:21" ht="15" x14ac:dyDescent="0.25">
      <c r="D349" s="67" t="str">
        <f>$A$24</f>
        <v>2-REGULAR</v>
      </c>
      <c r="E349" s="26">
        <f>'1-Autoavaliacao-Institucional'!W66</f>
        <v>1.7241379310344827E-2</v>
      </c>
      <c r="F349" s="27">
        <f>'1-Autoavaliacao-Institucional'!W131</f>
        <v>4.4444444444444446E-2</v>
      </c>
      <c r="T349" s="77" t="str">
        <f t="shared" si="17"/>
        <v>1-RUIM</v>
      </c>
      <c r="U349" s="150">
        <f>(COUNTIFS('1-Autoavaliacao-Institucional'!W$2:W$59,1)+COUNTIFS('1-Autoavaliacao-Institucional'!W$77:W$121,1))/$A$17</f>
        <v>9.7087378640776691E-3</v>
      </c>
    </row>
    <row r="350" spans="4:21" ht="15" x14ac:dyDescent="0.25">
      <c r="D350" s="67" t="str">
        <f>$A$25</f>
        <v>1-RUIM</v>
      </c>
      <c r="E350" s="26">
        <f>'1-Autoavaliacao-Institucional'!W67</f>
        <v>0</v>
      </c>
      <c r="F350" s="27">
        <f>'1-Autoavaliacao-Institucional'!W132</f>
        <v>2.2222222222222223E-2</v>
      </c>
      <c r="T350" s="78" t="str">
        <f t="shared" si="17"/>
        <v>0-NÃO SE APLICA</v>
      </c>
      <c r="U350" s="151">
        <f>(COUNTIFS('1-Autoavaliacao-Institucional'!W$2:W$59,0)+COUNTIFS('1-Autoavaliacao-Institucional'!W$77:W$121,0))/$A$17</f>
        <v>0.1553398058252427</v>
      </c>
    </row>
    <row r="351" spans="4:21" ht="15" x14ac:dyDescent="0.25">
      <c r="D351" s="68" t="str">
        <f>$A$26</f>
        <v>0-NÃO SE APLICA</v>
      </c>
      <c r="E351" s="28">
        <f>'1-Autoavaliacao-Institucional'!W68</f>
        <v>0.17241379310344829</v>
      </c>
      <c r="F351" s="29">
        <f>'1-Autoavaliacao-Institucional'!W133</f>
        <v>0.13333333333333333</v>
      </c>
    </row>
    <row r="352" spans="4:21" ht="15.6" x14ac:dyDescent="0.3">
      <c r="T352" s="79" t="str">
        <f>T343</f>
        <v>QUESTÃO 22</v>
      </c>
      <c r="U352" s="113" t="s">
        <v>255</v>
      </c>
    </row>
    <row r="353" spans="4:21" ht="15.6" x14ac:dyDescent="0.3">
      <c r="D353" s="112"/>
      <c r="E353" s="113" t="s">
        <v>245</v>
      </c>
      <c r="F353" s="113" t="s">
        <v>246</v>
      </c>
      <c r="G353" s="75" t="s">
        <v>251</v>
      </c>
      <c r="T353" s="109" t="str">
        <f>$A$29</f>
        <v>MUITO BOM / ÓTIMO</v>
      </c>
      <c r="U353" s="114">
        <f>U345+U346</f>
        <v>0.67961165048543692</v>
      </c>
    </row>
    <row r="354" spans="4:21" ht="15.6" x14ac:dyDescent="0.3">
      <c r="D354" s="109" t="str">
        <f>$A$29</f>
        <v>MUITO BOM / ÓTIMO</v>
      </c>
      <c r="E354" s="98">
        <f>E346+E347</f>
        <v>0.68965517241379315</v>
      </c>
      <c r="F354" s="99">
        <f>F346+F347</f>
        <v>0.66666666666666663</v>
      </c>
      <c r="G354" s="34">
        <f>(F354-E354)*100</f>
        <v>-2.298850574712652</v>
      </c>
      <c r="T354" s="110" t="str">
        <f>$A$30</f>
        <v>BOM</v>
      </c>
      <c r="U354" s="115">
        <f>U347</f>
        <v>0.12621359223300971</v>
      </c>
    </row>
    <row r="355" spans="4:21" ht="15.6" x14ac:dyDescent="0.3">
      <c r="D355" s="110" t="str">
        <f>$A$30</f>
        <v>BOM</v>
      </c>
      <c r="E355" s="100">
        <f>E348</f>
        <v>0.1206896551724138</v>
      </c>
      <c r="F355" s="101">
        <f>F348</f>
        <v>0.13333333333333333</v>
      </c>
      <c r="G355" s="34">
        <f>(F355-E355)*100</f>
        <v>1.2643678160919534</v>
      </c>
      <c r="T355" s="110" t="str">
        <f>$A$31</f>
        <v>RUIM / REGULAR</v>
      </c>
      <c r="U355" s="115">
        <f>U348+U349</f>
        <v>3.8834951456310676E-2</v>
      </c>
    </row>
    <row r="356" spans="4:21" ht="15.6" x14ac:dyDescent="0.3">
      <c r="D356" s="110" t="str">
        <f>$A$31</f>
        <v>RUIM / REGULAR</v>
      </c>
      <c r="E356" s="100">
        <f>E349+E350</f>
        <v>1.7241379310344827E-2</v>
      </c>
      <c r="F356" s="101">
        <f>F349+F350</f>
        <v>6.6666666666666666E-2</v>
      </c>
      <c r="G356" s="34">
        <f>(F356-E356)*100</f>
        <v>4.9425287356321839</v>
      </c>
      <c r="P356" s="18"/>
      <c r="T356" s="111" t="str">
        <f>$A$32</f>
        <v>NÃO SE APLICA / NÃO SEI</v>
      </c>
      <c r="U356" s="116">
        <f>U350</f>
        <v>0.1553398058252427</v>
      </c>
    </row>
    <row r="357" spans="4:21" ht="15.6" x14ac:dyDescent="0.3">
      <c r="D357" s="111" t="str">
        <f>$A$32</f>
        <v>NÃO SE APLICA / NÃO SEI</v>
      </c>
      <c r="E357" s="102">
        <f>E351</f>
        <v>0.17241379310344829</v>
      </c>
      <c r="F357" s="103">
        <f>F351</f>
        <v>0.13333333333333333</v>
      </c>
      <c r="G357" s="34">
        <f>(F357-E357)*100</f>
        <v>-3.9080459770114957</v>
      </c>
      <c r="P357" s="21"/>
      <c r="T357" s="105">
        <f>(SUM(U353:U356))</f>
        <v>1</v>
      </c>
      <c r="U357" s="106" t="str">
        <f>IF(T357=100%, "CORRETO","ERRO")</f>
        <v>CORRETO</v>
      </c>
    </row>
    <row r="358" spans="4:21" ht="15.6" x14ac:dyDescent="0.3">
      <c r="D358" s="105">
        <f>(SUM(E354:E357))</f>
        <v>1</v>
      </c>
      <c r="E358" s="106" t="str">
        <f>IF(D358=100%, "CORRETO","ERRO")</f>
        <v>CORRETO</v>
      </c>
      <c r="F358" s="106" t="str">
        <f>IF(D359=100%, "CORRETO","ERRO")</f>
        <v>CORRETO</v>
      </c>
      <c r="O358" s="16"/>
      <c r="P358" s="18"/>
    </row>
    <row r="359" spans="4:21" ht="15.6" x14ac:dyDescent="0.3">
      <c r="D359" s="105">
        <f>(SUM(F354:F357))</f>
        <v>0.99999999999999989</v>
      </c>
      <c r="O359" s="16"/>
      <c r="P359" s="18"/>
    </row>
    <row r="363" spans="4:21" ht="17.25" customHeight="1" x14ac:dyDescent="0.3">
      <c r="E363" s="32" t="s">
        <v>267</v>
      </c>
      <c r="F363" s="37" t="str">
        <f>'1-Autoavaliacao-Institucional'!X1</f>
        <v>23-	As disciplinas ofertadas pelo PGMAT têm sido suficientes em número por área de concentração ?</v>
      </c>
      <c r="Q363" s="22"/>
      <c r="R363" s="22"/>
      <c r="S363" s="22"/>
      <c r="T363" s="36" t="str">
        <f>E363</f>
        <v>QUESTÃO 23</v>
      </c>
      <c r="U363" s="117"/>
    </row>
    <row r="364" spans="4:21" ht="17.25" customHeight="1" x14ac:dyDescent="0.25">
      <c r="E364" s="22"/>
      <c r="F364" s="22"/>
      <c r="G364" s="22"/>
      <c r="H364" s="22"/>
      <c r="I364" s="22"/>
      <c r="J364" s="22"/>
      <c r="K364" s="22"/>
      <c r="L364" s="22"/>
      <c r="M364" s="22"/>
      <c r="N364" s="22"/>
      <c r="Q364" s="22"/>
      <c r="R364" s="22"/>
      <c r="S364" s="22"/>
      <c r="T364" s="19"/>
      <c r="U364" s="16"/>
    </row>
    <row r="365" spans="4:21" ht="17.25" customHeight="1" x14ac:dyDescent="0.3">
      <c r="E365" s="23" t="s">
        <v>245</v>
      </c>
      <c r="F365" s="23" t="s">
        <v>246</v>
      </c>
      <c r="H365" s="22"/>
      <c r="I365" s="22"/>
      <c r="J365" s="22"/>
      <c r="K365" s="22"/>
      <c r="L365" s="22"/>
      <c r="M365" s="22"/>
      <c r="N365" s="22"/>
      <c r="Q365" s="22"/>
      <c r="R365" s="22"/>
      <c r="S365" s="22"/>
      <c r="T365" s="76" t="str">
        <f t="shared" ref="T365:T370" si="18">D366</f>
        <v>5-ÓTIMO</v>
      </c>
      <c r="U365" s="149">
        <f>(COUNTIFS('1-Autoavaliacao-Institucional'!X$2:X$59,5)+COUNTIFS('1-Autoavaliacao-Institucional'!X$77:X$121,5))/$A$17</f>
        <v>0.21359223300970873</v>
      </c>
    </row>
    <row r="366" spans="4:21" ht="17.25" customHeight="1" x14ac:dyDescent="0.25">
      <c r="D366" s="66" t="str">
        <f>$A$21</f>
        <v>5-ÓTIMO</v>
      </c>
      <c r="E366" s="24">
        <f>'1-Autoavaliacao-Institucional'!X63</f>
        <v>0.20689655172413793</v>
      </c>
      <c r="F366" s="25">
        <f>'1-Autoavaliacao-Institucional'!X128</f>
        <v>0.22222222222222221</v>
      </c>
      <c r="H366" s="22"/>
      <c r="T366" s="77" t="str">
        <f t="shared" si="18"/>
        <v>4-MUITO BOM</v>
      </c>
      <c r="U366" s="150">
        <f>(COUNTIFS('1-Autoavaliacao-Institucional'!X$2:X$59,4)+COUNTIFS('1-Autoavaliacao-Institucional'!X$77:X$121,4))/$A$17</f>
        <v>0.24271844660194175</v>
      </c>
    </row>
    <row r="367" spans="4:21" ht="15" x14ac:dyDescent="0.25">
      <c r="D367" s="67" t="str">
        <f>$A$22</f>
        <v>4-MUITO BOM</v>
      </c>
      <c r="E367" s="26">
        <f>'1-Autoavaliacao-Institucional'!X64</f>
        <v>0.22413793103448276</v>
      </c>
      <c r="F367" s="27">
        <f>'1-Autoavaliacao-Institucional'!X129</f>
        <v>0.26666666666666666</v>
      </c>
      <c r="T367" s="77" t="str">
        <f t="shared" si="18"/>
        <v>3-BOM</v>
      </c>
      <c r="U367" s="150">
        <f>(COUNTIFS('1-Autoavaliacao-Institucional'!X$2:X$59,3)+COUNTIFS('1-Autoavaliacao-Institucional'!X$77:X$121,3))/$A$17</f>
        <v>0.20388349514563106</v>
      </c>
    </row>
    <row r="368" spans="4:21" ht="15" x14ac:dyDescent="0.25">
      <c r="D368" s="67" t="str">
        <f>$A$23</f>
        <v>3-BOM</v>
      </c>
      <c r="E368" s="26">
        <f>'1-Autoavaliacao-Institucional'!X65</f>
        <v>0.22413793103448276</v>
      </c>
      <c r="F368" s="27">
        <f>'1-Autoavaliacao-Institucional'!X130</f>
        <v>0.17777777777777778</v>
      </c>
      <c r="T368" s="77" t="str">
        <f t="shared" si="18"/>
        <v>2-REGULAR</v>
      </c>
      <c r="U368" s="150">
        <f>(COUNTIFS('1-Autoavaliacao-Institucional'!X$2:X$59,2)+COUNTIFS('1-Autoavaliacao-Institucional'!X$77:X$121,2))/$A$17</f>
        <v>0.1553398058252427</v>
      </c>
    </row>
    <row r="369" spans="4:21" ht="15" x14ac:dyDescent="0.25">
      <c r="D369" s="67" t="str">
        <f>$A$24</f>
        <v>2-REGULAR</v>
      </c>
      <c r="E369" s="26">
        <f>'1-Autoavaliacao-Institucional'!X66</f>
        <v>0.13793103448275862</v>
      </c>
      <c r="F369" s="27">
        <f>'1-Autoavaliacao-Institucional'!X131</f>
        <v>0.17777777777777778</v>
      </c>
      <c r="T369" s="77" t="str">
        <f t="shared" si="18"/>
        <v>1-RUIM</v>
      </c>
      <c r="U369" s="150">
        <f>(COUNTIFS('1-Autoavaliacao-Institucional'!X$2:X$59,1)+COUNTIFS('1-Autoavaliacao-Institucional'!X$77:X$121,1))/$A$17</f>
        <v>7.7669902912621352E-2</v>
      </c>
    </row>
    <row r="370" spans="4:21" ht="15" x14ac:dyDescent="0.25">
      <c r="D370" s="67" t="str">
        <f>$A$25</f>
        <v>1-RUIM</v>
      </c>
      <c r="E370" s="26">
        <f>'1-Autoavaliacao-Institucional'!X67</f>
        <v>0.1206896551724138</v>
      </c>
      <c r="F370" s="27">
        <f>'1-Autoavaliacao-Institucional'!X132</f>
        <v>2.2222222222222223E-2</v>
      </c>
      <c r="T370" s="78" t="str">
        <f t="shared" si="18"/>
        <v>0-NÃO SE APLICA</v>
      </c>
      <c r="U370" s="151">
        <f>(COUNTIFS('1-Autoavaliacao-Institucional'!X$2:X$59,0)+COUNTIFS('1-Autoavaliacao-Institucional'!X$77:X$121,0))/$A$17</f>
        <v>0.10679611650485436</v>
      </c>
    </row>
    <row r="371" spans="4:21" ht="15" x14ac:dyDescent="0.25">
      <c r="D371" s="68" t="str">
        <f>$A$26</f>
        <v>0-NÃO SE APLICA</v>
      </c>
      <c r="E371" s="28">
        <f>'1-Autoavaliacao-Institucional'!X68</f>
        <v>8.6206896551724144E-2</v>
      </c>
      <c r="F371" s="29">
        <f>'1-Autoavaliacao-Institucional'!X133</f>
        <v>0.13333333333333333</v>
      </c>
    </row>
    <row r="372" spans="4:21" ht="15.6" x14ac:dyDescent="0.3">
      <c r="T372" s="79" t="str">
        <f>T363</f>
        <v>QUESTÃO 23</v>
      </c>
      <c r="U372" s="113" t="s">
        <v>255</v>
      </c>
    </row>
    <row r="373" spans="4:21" ht="15.6" x14ac:dyDescent="0.3">
      <c r="D373" s="112"/>
      <c r="E373" s="113" t="s">
        <v>245</v>
      </c>
      <c r="F373" s="113" t="s">
        <v>246</v>
      </c>
      <c r="G373" s="75" t="s">
        <v>251</v>
      </c>
      <c r="T373" s="109" t="str">
        <f>$A$29</f>
        <v>MUITO BOM / ÓTIMO</v>
      </c>
      <c r="U373" s="114">
        <f>U365+U366</f>
        <v>0.4563106796116505</v>
      </c>
    </row>
    <row r="374" spans="4:21" ht="15.6" x14ac:dyDescent="0.3">
      <c r="D374" s="109" t="str">
        <f>$A$29</f>
        <v>MUITO BOM / ÓTIMO</v>
      </c>
      <c r="E374" s="98">
        <f>E366+E367</f>
        <v>0.43103448275862066</v>
      </c>
      <c r="F374" s="99">
        <f>F366+F367</f>
        <v>0.48888888888888887</v>
      </c>
      <c r="G374" s="34">
        <f>(F374-E374)*100</f>
        <v>5.7854406130268208</v>
      </c>
      <c r="T374" s="110" t="str">
        <f>$A$30</f>
        <v>BOM</v>
      </c>
      <c r="U374" s="115">
        <f>U367</f>
        <v>0.20388349514563106</v>
      </c>
    </row>
    <row r="375" spans="4:21" ht="15.6" x14ac:dyDescent="0.3">
      <c r="D375" s="110" t="str">
        <f>$A$30</f>
        <v>BOM</v>
      </c>
      <c r="E375" s="100">
        <f>E368</f>
        <v>0.22413793103448276</v>
      </c>
      <c r="F375" s="101">
        <f>F368</f>
        <v>0.17777777777777778</v>
      </c>
      <c r="G375" s="34">
        <f>(F375-E375)*100</f>
        <v>-4.6360153256704981</v>
      </c>
      <c r="T375" s="110" t="str">
        <f>$A$31</f>
        <v>RUIM / REGULAR</v>
      </c>
      <c r="U375" s="115">
        <f>U368+U369</f>
        <v>0.23300970873786406</v>
      </c>
    </row>
    <row r="376" spans="4:21" ht="15.6" x14ac:dyDescent="0.3">
      <c r="D376" s="110" t="str">
        <f>$A$31</f>
        <v>RUIM / REGULAR</v>
      </c>
      <c r="E376" s="100">
        <f>E369+E370</f>
        <v>0.25862068965517243</v>
      </c>
      <c r="F376" s="101">
        <f>F369+F370</f>
        <v>0.2</v>
      </c>
      <c r="G376" s="34">
        <f>(F376-E376)*100</f>
        <v>-5.862068965517242</v>
      </c>
      <c r="P376" s="18"/>
      <c r="T376" s="111" t="str">
        <f>$A$32</f>
        <v>NÃO SE APLICA / NÃO SEI</v>
      </c>
      <c r="U376" s="116">
        <f>U370</f>
        <v>0.10679611650485436</v>
      </c>
    </row>
    <row r="377" spans="4:21" ht="15.6" x14ac:dyDescent="0.3">
      <c r="D377" s="111" t="str">
        <f>$A$32</f>
        <v>NÃO SE APLICA / NÃO SEI</v>
      </c>
      <c r="E377" s="102">
        <f>E371</f>
        <v>8.6206896551724144E-2</v>
      </c>
      <c r="F377" s="103">
        <f>F371</f>
        <v>0.13333333333333333</v>
      </c>
      <c r="G377" s="34">
        <f>(F377-E377)*100</f>
        <v>4.7126436781609184</v>
      </c>
      <c r="P377" s="21"/>
      <c r="T377" s="105">
        <f>(SUM(U373:U376))</f>
        <v>1</v>
      </c>
      <c r="U377" s="106" t="str">
        <f>IF(T377=100%, "CORRETO","ERRO")</f>
        <v>CORRETO</v>
      </c>
    </row>
    <row r="378" spans="4:21" ht="15.6" x14ac:dyDescent="0.3">
      <c r="D378" s="105">
        <f>(SUM(E374:E377))</f>
        <v>1</v>
      </c>
      <c r="E378" s="106" t="str">
        <f>IF(D378=100%, "CORRETO","ERRO")</f>
        <v>CORRETO</v>
      </c>
      <c r="F378" s="106" t="str">
        <f>IF(D379=100%, "CORRETO","ERRO")</f>
        <v>CORRETO</v>
      </c>
      <c r="O378" s="16"/>
      <c r="P378" s="18"/>
    </row>
    <row r="379" spans="4:21" ht="15.6" x14ac:dyDescent="0.3">
      <c r="D379" s="105">
        <f>(SUM(F374:F377))</f>
        <v>1</v>
      </c>
      <c r="O379" s="16"/>
      <c r="P379" s="18"/>
    </row>
    <row r="383" spans="4:21" ht="17.25" customHeight="1" x14ac:dyDescent="0.3">
      <c r="E383" s="32" t="s">
        <v>268</v>
      </c>
      <c r="F383" s="37" t="str">
        <f>'1-Autoavaliacao-Institucional'!Y1</f>
        <v>24-	As disciplinas ofertadas pelo PGMAT têm sido bem distribuídas por período letivo ?</v>
      </c>
      <c r="Q383" s="22"/>
      <c r="R383" s="22"/>
      <c r="S383" s="22"/>
      <c r="T383" s="36" t="str">
        <f>E383</f>
        <v>QUESTÃO 24</v>
      </c>
      <c r="U383" s="117"/>
    </row>
    <row r="384" spans="4:21" ht="17.25" customHeight="1" x14ac:dyDescent="0.25">
      <c r="E384" s="22"/>
      <c r="F384" s="22"/>
      <c r="G384" s="22"/>
      <c r="H384" s="22"/>
      <c r="I384" s="22"/>
      <c r="J384" s="22"/>
      <c r="K384" s="22"/>
      <c r="L384" s="22"/>
      <c r="M384" s="22"/>
      <c r="N384" s="22"/>
      <c r="Q384" s="22"/>
      <c r="R384" s="22"/>
      <c r="S384" s="22"/>
      <c r="T384" s="19"/>
      <c r="U384" s="16"/>
    </row>
    <row r="385" spans="4:21" ht="17.25" customHeight="1" x14ac:dyDescent="0.3">
      <c r="E385" s="23" t="s">
        <v>245</v>
      </c>
      <c r="F385" s="23" t="s">
        <v>246</v>
      </c>
      <c r="H385" s="22"/>
      <c r="I385" s="22"/>
      <c r="J385" s="22"/>
      <c r="K385" s="22"/>
      <c r="L385" s="22"/>
      <c r="M385" s="22"/>
      <c r="N385" s="22"/>
      <c r="Q385" s="22"/>
      <c r="R385" s="22"/>
      <c r="S385" s="22"/>
      <c r="T385" s="76" t="str">
        <f t="shared" ref="T385:T390" si="19">D386</f>
        <v>5-ÓTIMO</v>
      </c>
      <c r="U385" s="149">
        <f>(COUNTIFS('1-Autoavaliacao-Institucional'!Y$2:Y$59,5)+COUNTIFS('1-Autoavaliacao-Institucional'!Y$77:Y$121,5))/$A$17</f>
        <v>0.33980582524271846</v>
      </c>
    </row>
    <row r="386" spans="4:21" ht="17.25" customHeight="1" x14ac:dyDescent="0.25">
      <c r="D386" s="66" t="str">
        <f>$A$21</f>
        <v>5-ÓTIMO</v>
      </c>
      <c r="E386" s="24">
        <f>'1-Autoavaliacao-Institucional'!Y63</f>
        <v>0.34482758620689657</v>
      </c>
      <c r="F386" s="25">
        <f>'1-Autoavaliacao-Institucional'!Y128</f>
        <v>0.33333333333333331</v>
      </c>
      <c r="H386" s="22"/>
      <c r="T386" s="77" t="str">
        <f t="shared" si="19"/>
        <v>4-MUITO BOM</v>
      </c>
      <c r="U386" s="150">
        <f>(COUNTIFS('1-Autoavaliacao-Institucional'!Y$2:Y$59,4)+COUNTIFS('1-Autoavaliacao-Institucional'!Y$77:Y$121,4))/$A$17</f>
        <v>0.24271844660194175</v>
      </c>
    </row>
    <row r="387" spans="4:21" ht="15" x14ac:dyDescent="0.25">
      <c r="D387" s="67" t="str">
        <f>$A$22</f>
        <v>4-MUITO BOM</v>
      </c>
      <c r="E387" s="26">
        <f>'1-Autoavaliacao-Institucional'!Y64</f>
        <v>0.18965517241379309</v>
      </c>
      <c r="F387" s="27">
        <f>'1-Autoavaliacao-Institucional'!Y129</f>
        <v>0.31111111111111112</v>
      </c>
      <c r="T387" s="77" t="str">
        <f t="shared" si="19"/>
        <v>3-BOM</v>
      </c>
      <c r="U387" s="150">
        <f>(COUNTIFS('1-Autoavaliacao-Institucional'!Y$2:Y$59,3)+COUNTIFS('1-Autoavaliacao-Institucional'!Y$77:Y$121,3))/$A$17</f>
        <v>0.14563106796116504</v>
      </c>
    </row>
    <row r="388" spans="4:21" ht="15" x14ac:dyDescent="0.25">
      <c r="D388" s="67" t="str">
        <f>$A$23</f>
        <v>3-BOM</v>
      </c>
      <c r="E388" s="26">
        <f>'1-Autoavaliacao-Institucional'!Y65</f>
        <v>0.15517241379310345</v>
      </c>
      <c r="F388" s="27">
        <f>'1-Autoavaliacao-Institucional'!Y130</f>
        <v>0.13333333333333333</v>
      </c>
      <c r="T388" s="77" t="str">
        <f t="shared" si="19"/>
        <v>2-REGULAR</v>
      </c>
      <c r="U388" s="150">
        <f>(COUNTIFS('1-Autoavaliacao-Institucional'!Y$2:Y$59,2)+COUNTIFS('1-Autoavaliacao-Institucional'!Y$77:Y$121,2))/$A$17</f>
        <v>0.11650485436893204</v>
      </c>
    </row>
    <row r="389" spans="4:21" ht="15" x14ac:dyDescent="0.25">
      <c r="D389" s="67" t="str">
        <f>$A$24</f>
        <v>2-REGULAR</v>
      </c>
      <c r="E389" s="26">
        <f>'1-Autoavaliacao-Institucional'!Y66</f>
        <v>0.15517241379310345</v>
      </c>
      <c r="F389" s="27">
        <f>'1-Autoavaliacao-Institucional'!Y131</f>
        <v>6.6666666666666666E-2</v>
      </c>
      <c r="T389" s="77" t="str">
        <f t="shared" si="19"/>
        <v>1-RUIM</v>
      </c>
      <c r="U389" s="150">
        <f>(COUNTIFS('1-Autoavaliacao-Institucional'!Y$2:Y$59,1)+COUNTIFS('1-Autoavaliacao-Institucional'!Y$77:Y$121,1))/$A$17</f>
        <v>3.8834951456310676E-2</v>
      </c>
    </row>
    <row r="390" spans="4:21" ht="15" x14ac:dyDescent="0.25">
      <c r="D390" s="67" t="str">
        <f>$A$25</f>
        <v>1-RUIM</v>
      </c>
      <c r="E390" s="26">
        <f>'1-Autoavaliacao-Institucional'!Y67</f>
        <v>5.1724137931034482E-2</v>
      </c>
      <c r="F390" s="27">
        <f>'1-Autoavaliacao-Institucional'!Y132</f>
        <v>2.2222222222222223E-2</v>
      </c>
      <c r="T390" s="78" t="str">
        <f t="shared" si="19"/>
        <v>0-NÃO SE APLICA</v>
      </c>
      <c r="U390" s="151">
        <f>(COUNTIFS('1-Autoavaliacao-Institucional'!Y$2:Y$59,0)+COUNTIFS('1-Autoavaliacao-Institucional'!Y$77:Y$121,0))/$A$17</f>
        <v>0.11650485436893204</v>
      </c>
    </row>
    <row r="391" spans="4:21" ht="15" x14ac:dyDescent="0.25">
      <c r="D391" s="68" t="str">
        <f>$A$26</f>
        <v>0-NÃO SE APLICA</v>
      </c>
      <c r="E391" s="28">
        <f>'1-Autoavaliacao-Institucional'!Y68</f>
        <v>0.10344827586206896</v>
      </c>
      <c r="F391" s="29">
        <f>'1-Autoavaliacao-Institucional'!Y133</f>
        <v>0.13333333333333333</v>
      </c>
    </row>
    <row r="392" spans="4:21" ht="15.6" x14ac:dyDescent="0.3">
      <c r="T392" s="79" t="str">
        <f>T383</f>
        <v>QUESTÃO 24</v>
      </c>
      <c r="U392" s="113" t="s">
        <v>255</v>
      </c>
    </row>
    <row r="393" spans="4:21" ht="15.6" x14ac:dyDescent="0.3">
      <c r="D393" s="112"/>
      <c r="E393" s="113" t="s">
        <v>245</v>
      </c>
      <c r="F393" s="113" t="s">
        <v>246</v>
      </c>
      <c r="G393" s="75" t="s">
        <v>251</v>
      </c>
      <c r="T393" s="109" t="str">
        <f>$A$29</f>
        <v>MUITO BOM / ÓTIMO</v>
      </c>
      <c r="U393" s="114">
        <f>U385+U386</f>
        <v>0.58252427184466016</v>
      </c>
    </row>
    <row r="394" spans="4:21" ht="15.6" x14ac:dyDescent="0.3">
      <c r="D394" s="109" t="str">
        <f>$A$29</f>
        <v>MUITO BOM / ÓTIMO</v>
      </c>
      <c r="E394" s="98">
        <f>E386+E387</f>
        <v>0.53448275862068972</v>
      </c>
      <c r="F394" s="99">
        <f>F386+F387</f>
        <v>0.64444444444444438</v>
      </c>
      <c r="G394" s="34">
        <f>(F394-E394)*100</f>
        <v>10.996168582375464</v>
      </c>
      <c r="T394" s="110" t="str">
        <f>$A$30</f>
        <v>BOM</v>
      </c>
      <c r="U394" s="115">
        <f>U387</f>
        <v>0.14563106796116504</v>
      </c>
    </row>
    <row r="395" spans="4:21" ht="15.6" x14ac:dyDescent="0.3">
      <c r="D395" s="110" t="str">
        <f>$A$30</f>
        <v>BOM</v>
      </c>
      <c r="E395" s="100">
        <f>E388</f>
        <v>0.15517241379310345</v>
      </c>
      <c r="F395" s="101">
        <f>F388</f>
        <v>0.13333333333333333</v>
      </c>
      <c r="G395" s="34">
        <f>(F395-E395)*100</f>
        <v>-2.1839080459770122</v>
      </c>
      <c r="T395" s="110" t="str">
        <f>$A$31</f>
        <v>RUIM / REGULAR</v>
      </c>
      <c r="U395" s="115">
        <f>U388+U389</f>
        <v>0.1553398058252427</v>
      </c>
    </row>
    <row r="396" spans="4:21" ht="15.6" x14ac:dyDescent="0.3">
      <c r="D396" s="110" t="str">
        <f>$A$31</f>
        <v>RUIM / REGULAR</v>
      </c>
      <c r="E396" s="100">
        <f>E389+E390</f>
        <v>0.20689655172413793</v>
      </c>
      <c r="F396" s="101">
        <f>F389+F390</f>
        <v>8.8888888888888892E-2</v>
      </c>
      <c r="G396" s="34">
        <f>(F396-E396)*100</f>
        <v>-11.800766283524904</v>
      </c>
      <c r="P396" s="18"/>
      <c r="T396" s="111" t="str">
        <f>$A$32</f>
        <v>NÃO SE APLICA / NÃO SEI</v>
      </c>
      <c r="U396" s="116">
        <f>U390</f>
        <v>0.11650485436893204</v>
      </c>
    </row>
    <row r="397" spans="4:21" ht="15.6" x14ac:dyDescent="0.3">
      <c r="D397" s="111" t="str">
        <f>$A$32</f>
        <v>NÃO SE APLICA / NÃO SEI</v>
      </c>
      <c r="E397" s="102">
        <f>E391</f>
        <v>0.10344827586206896</v>
      </c>
      <c r="F397" s="103">
        <f>F391</f>
        <v>0.13333333333333333</v>
      </c>
      <c r="G397" s="34">
        <f>(F397-E397)*100</f>
        <v>2.9885057471264367</v>
      </c>
      <c r="P397" s="21"/>
      <c r="T397" s="105">
        <f>(SUM(U393:U396))</f>
        <v>0.99999999999999978</v>
      </c>
      <c r="U397" s="106" t="str">
        <f>IF(T397=100%, "CORRETO","ERRO")</f>
        <v>CORRETO</v>
      </c>
    </row>
    <row r="398" spans="4:21" ht="15.6" x14ac:dyDescent="0.3">
      <c r="D398" s="105">
        <f>(SUM(E394:E397))</f>
        <v>1</v>
      </c>
      <c r="E398" s="106" t="str">
        <f>IF(D398=100%, "CORRETO","ERRO")</f>
        <v>CORRETO</v>
      </c>
      <c r="F398" s="106" t="str">
        <f>IF(D399=100%, "CORRETO","ERRO")</f>
        <v>CORRETO</v>
      </c>
      <c r="O398" s="16"/>
      <c r="P398" s="18"/>
    </row>
    <row r="399" spans="4:21" ht="15.6" x14ac:dyDescent="0.3">
      <c r="D399" s="105">
        <f>(SUM(F394:F397))</f>
        <v>0.99999999999999989</v>
      </c>
      <c r="O399" s="16"/>
      <c r="P399" s="18"/>
    </row>
  </sheetData>
  <mergeCells count="4">
    <mergeCell ref="A55:A56"/>
    <mergeCell ref="E2:S5"/>
    <mergeCell ref="A19:A20"/>
    <mergeCell ref="A33:A34"/>
  </mergeCells>
  <conditionalFormatting sqref="A55">
    <cfRule type="cellIs" dxfId="189" priority="1782" operator="lessThan">
      <formula>0</formula>
    </cfRule>
    <cfRule type="iconSet" priority="1780">
      <iconSet iconSet="3Arrows">
        <cfvo type="percent" val="0"/>
        <cfvo type="num" val="0"/>
        <cfvo type="num" val="$A$36"/>
      </iconSet>
    </cfRule>
    <cfRule type="iconSet" priority="1781">
      <iconSet iconSet="3Arrows">
        <cfvo type="percent" val="0"/>
        <cfvo type="percent" val="33"/>
        <cfvo type="percent" val="67"/>
      </iconSet>
    </cfRule>
  </conditionalFormatting>
  <conditionalFormatting sqref="E22:F22">
    <cfRule type="containsText" dxfId="188" priority="1079" operator="containsText" text="ERRO">
      <formula>NOT(ISERROR(SEARCH("ERRO",E22)))</formula>
    </cfRule>
  </conditionalFormatting>
  <conditionalFormatting sqref="E40:F40">
    <cfRule type="containsText" dxfId="187" priority="416" operator="containsText" text="ERRO">
      <formula>NOT(ISERROR(SEARCH("ERRO",E40)))</formula>
    </cfRule>
  </conditionalFormatting>
  <conditionalFormatting sqref="E58:F58">
    <cfRule type="containsText" dxfId="186" priority="394" operator="containsText" text="ERRO">
      <formula>NOT(ISERROR(SEARCH("ERRO",E58)))</formula>
    </cfRule>
  </conditionalFormatting>
  <conditionalFormatting sqref="E76:F76">
    <cfRule type="containsText" dxfId="185" priority="372" operator="containsText" text="ERRO">
      <formula>NOT(ISERROR(SEARCH("ERRO",E76)))</formula>
    </cfRule>
  </conditionalFormatting>
  <conditionalFormatting sqref="E97:F97">
    <cfRule type="containsText" dxfId="184" priority="350" operator="containsText" text="ERRO">
      <formula>NOT(ISERROR(SEARCH("ERRO",E97)))</formula>
    </cfRule>
  </conditionalFormatting>
  <conditionalFormatting sqref="E117:F117">
    <cfRule type="containsText" dxfId="183" priority="328" operator="containsText" text="ERRO">
      <formula>NOT(ISERROR(SEARCH("ERRO",E117)))</formula>
    </cfRule>
  </conditionalFormatting>
  <conditionalFormatting sqref="E137:F137">
    <cfRule type="containsText" dxfId="182" priority="306" operator="containsText" text="ERRO">
      <formula>NOT(ISERROR(SEARCH("ERRO",E137)))</formula>
    </cfRule>
  </conditionalFormatting>
  <conditionalFormatting sqref="E158:F158">
    <cfRule type="containsText" dxfId="181" priority="284" operator="containsText" text="ERRO">
      <formula>NOT(ISERROR(SEARCH("ERRO",E158)))</formula>
    </cfRule>
  </conditionalFormatting>
  <conditionalFormatting sqref="E178:F178">
    <cfRule type="containsText" dxfId="180" priority="262" operator="containsText" text="ERRO">
      <formula>NOT(ISERROR(SEARCH("ERRO",E178)))</formula>
    </cfRule>
  </conditionalFormatting>
  <conditionalFormatting sqref="E198:F198">
    <cfRule type="containsText" dxfId="179" priority="240" operator="containsText" text="ERRO">
      <formula>NOT(ISERROR(SEARCH("ERRO",E198)))</formula>
    </cfRule>
  </conditionalFormatting>
  <conditionalFormatting sqref="E219:F219">
    <cfRule type="containsText" dxfId="178" priority="218" operator="containsText" text="ERRO">
      <formula>NOT(ISERROR(SEARCH("ERRO",E219)))</formula>
    </cfRule>
  </conditionalFormatting>
  <conditionalFormatting sqref="E239:F239">
    <cfRule type="containsText" dxfId="177" priority="196" operator="containsText" text="ERRO">
      <formula>NOT(ISERROR(SEARCH("ERRO",E239)))</formula>
    </cfRule>
  </conditionalFormatting>
  <conditionalFormatting sqref="E258:F258">
    <cfRule type="containsText" dxfId="176" priority="174" operator="containsText" text="ERRO">
      <formula>NOT(ISERROR(SEARCH("ERRO",E258)))</formula>
    </cfRule>
  </conditionalFormatting>
  <conditionalFormatting sqref="E277:F277">
    <cfRule type="containsText" dxfId="175" priority="152" operator="containsText" text="ERRO">
      <formula>NOT(ISERROR(SEARCH("ERRO",E277)))</formula>
    </cfRule>
  </conditionalFormatting>
  <conditionalFormatting sqref="E297:F297">
    <cfRule type="containsText" dxfId="174" priority="130" operator="containsText" text="ERRO">
      <formula>NOT(ISERROR(SEARCH("ERRO",E297)))</formula>
    </cfRule>
  </conditionalFormatting>
  <conditionalFormatting sqref="E317:F317">
    <cfRule type="containsText" dxfId="173" priority="108" operator="containsText" text="ERRO">
      <formula>NOT(ISERROR(SEARCH("ERRO",E317)))</formula>
    </cfRule>
  </conditionalFormatting>
  <conditionalFormatting sqref="E338:F338">
    <cfRule type="containsText" dxfId="172" priority="86" operator="containsText" text="ERRO">
      <formula>NOT(ISERROR(SEARCH("ERRO",E338)))</formula>
    </cfRule>
  </conditionalFormatting>
  <conditionalFormatting sqref="E358:F358">
    <cfRule type="containsText" dxfId="171" priority="64" operator="containsText" text="ERRO">
      <formula>NOT(ISERROR(SEARCH("ERRO",E358)))</formula>
    </cfRule>
  </conditionalFormatting>
  <conditionalFormatting sqref="E378:F378">
    <cfRule type="containsText" dxfId="170" priority="42" operator="containsText" text="ERRO">
      <formula>NOT(ISERROR(SEARCH("ERRO",E378)))</formula>
    </cfRule>
  </conditionalFormatting>
  <conditionalFormatting sqref="E398:F398">
    <cfRule type="containsText" dxfId="169" priority="20" operator="containsText" text="ERRO">
      <formula>NOT(ISERROR(SEARCH("ERRO",E398)))</formula>
    </cfRule>
  </conditionalFormatting>
  <conditionalFormatting sqref="G1">
    <cfRule type="cellIs" dxfId="168" priority="1173" operator="equal">
      <formula>"%"</formula>
    </cfRule>
    <cfRule type="cellIs" dxfId="167" priority="1174" operator="lessThan">
      <formula>-10</formula>
    </cfRule>
    <cfRule type="cellIs" dxfId="166" priority="1175" operator="greaterThan">
      <formula>10</formula>
    </cfRule>
    <cfRule type="cellIs" dxfId="165" priority="1261" operator="lessThan">
      <formula>0</formula>
    </cfRule>
  </conditionalFormatting>
  <conditionalFormatting sqref="G6:G310">
    <cfRule type="cellIs" dxfId="164" priority="131" operator="equal">
      <formula>"%"</formula>
    </cfRule>
    <cfRule type="cellIs" dxfId="163" priority="132" operator="lessThan">
      <formula>-10</formula>
    </cfRule>
    <cfRule type="cellIs" dxfId="162" priority="133" operator="greaterThan">
      <formula>10</formula>
    </cfRule>
    <cfRule type="cellIs" dxfId="161" priority="134" operator="lessThan">
      <formula>0</formula>
    </cfRule>
  </conditionalFormatting>
  <conditionalFormatting sqref="G9:G15">
    <cfRule type="cellIs" priority="1368" operator="greaterThan">
      <formula>$E$10</formula>
    </cfRule>
    <cfRule type="iconSet" priority="1367">
      <iconSet iconSet="3Arrows">
        <cfvo type="percent" val="0"/>
        <cfvo type="percent" val="33"/>
        <cfvo type="percent" val="67"/>
      </iconSet>
    </cfRule>
    <cfRule type="iconSet" priority="1365">
      <iconSet iconSet="3Arrows" showValue="0">
        <cfvo type="percent" val="0"/>
        <cfvo type="percent" val="$E$10-$F$10"/>
        <cfvo type="percent" val="$E$10"/>
      </iconSet>
    </cfRule>
    <cfRule type="iconSet" priority="1360">
      <iconSet iconSet="3Arrows">
        <cfvo type="percent" val="0"/>
        <cfvo type="percent" val="33"/>
        <cfvo type="percent" val="67"/>
      </iconSet>
    </cfRule>
    <cfRule type="iconSet" priority="1361">
      <iconSet iconSet="3Arrows">
        <cfvo type="percent" val="0"/>
        <cfvo type="percent" val="33"/>
        <cfvo type="percent" val="67"/>
      </iconSet>
    </cfRule>
  </conditionalFormatting>
  <conditionalFormatting sqref="G18:G21">
    <cfRule type="iconSet" priority="1112">
      <iconSet iconSet="3Arrows">
        <cfvo type="percent" val="0"/>
        <cfvo type="percent" val="33"/>
        <cfvo type="percent" val="67"/>
      </iconSet>
    </cfRule>
    <cfRule type="iconSet" priority="1114">
      <iconSet iconSet="3Arrows" showValue="0">
        <cfvo type="percent" val="0"/>
        <cfvo type="percent" val="$E$10-$F$10"/>
        <cfvo type="percent" val="$E$10"/>
      </iconSet>
    </cfRule>
    <cfRule type="iconSet" priority="1115">
      <iconSet iconSet="3Arrows">
        <cfvo type="percent" val="0"/>
        <cfvo type="percent" val="33"/>
        <cfvo type="percent" val="67"/>
      </iconSet>
    </cfRule>
    <cfRule type="cellIs" priority="1116" operator="greaterThan">
      <formula>$E$10</formula>
    </cfRule>
    <cfRule type="iconSet" priority="1111">
      <iconSet iconSet="3Arrows">
        <cfvo type="percent" val="0"/>
        <cfvo type="percent" val="33"/>
        <cfvo type="percent" val="67"/>
      </iconSet>
    </cfRule>
  </conditionalFormatting>
  <conditionalFormatting sqref="G27:G33">
    <cfRule type="iconSet" priority="606">
      <iconSet iconSet="3Arrows">
        <cfvo type="percent" val="0"/>
        <cfvo type="percent" val="33"/>
        <cfvo type="percent" val="67"/>
      </iconSet>
    </cfRule>
    <cfRule type="iconSet" priority="605">
      <iconSet iconSet="3Arrows">
        <cfvo type="percent" val="0"/>
        <cfvo type="percent" val="33"/>
        <cfvo type="percent" val="67"/>
      </iconSet>
    </cfRule>
    <cfRule type="iconSet" priority="609">
      <iconSet iconSet="3Arrows">
        <cfvo type="percent" val="0"/>
        <cfvo type="percent" val="33"/>
        <cfvo type="percent" val="67"/>
      </iconSet>
    </cfRule>
    <cfRule type="iconSet" priority="608">
      <iconSet iconSet="3Arrows" showValue="0">
        <cfvo type="percent" val="0"/>
        <cfvo type="percent" val="$E$10-$F$10"/>
        <cfvo type="percent" val="$E$10"/>
      </iconSet>
    </cfRule>
    <cfRule type="cellIs" priority="610" operator="greaterThan">
      <formula>$E$10</formula>
    </cfRule>
  </conditionalFormatting>
  <conditionalFormatting sqref="G28:G33">
    <cfRule type="iconSet" priority="1338">
      <iconSet iconSet="3Arrows">
        <cfvo type="percent" val="0"/>
        <cfvo type="percent" val="33"/>
        <cfvo type="percent" val="67"/>
      </iconSet>
    </cfRule>
    <cfRule type="iconSet" priority="1337">
      <iconSet iconSet="3Arrows">
        <cfvo type="percent" val="0"/>
        <cfvo type="percent" val="33"/>
        <cfvo type="percent" val="67"/>
      </iconSet>
    </cfRule>
    <cfRule type="iconSet" priority="1496">
      <iconSet iconSet="3Arrows">
        <cfvo type="percent" val="0"/>
        <cfvo type="percent" val="33"/>
        <cfvo type="percent" val="67"/>
      </iconSet>
    </cfRule>
    <cfRule type="iconSet" priority="1495">
      <iconSet iconSet="3Arrows" showValue="0">
        <cfvo type="percent" val="0"/>
        <cfvo type="percent" val="$E$10-$F$10"/>
        <cfvo type="percent" val="$E$10"/>
      </iconSet>
    </cfRule>
  </conditionalFormatting>
  <conditionalFormatting sqref="G36:G39">
    <cfRule type="iconSet" priority="424">
      <iconSet iconSet="3Arrows">
        <cfvo type="percent" val="0"/>
        <cfvo type="percent" val="33"/>
        <cfvo type="percent" val="67"/>
      </iconSet>
    </cfRule>
    <cfRule type="iconSet" priority="425">
      <iconSet iconSet="3Arrows">
        <cfvo type="percent" val="0"/>
        <cfvo type="percent" val="33"/>
        <cfvo type="percent" val="67"/>
      </iconSet>
    </cfRule>
    <cfRule type="iconSet" priority="427">
      <iconSet iconSet="3Arrows" showValue="0">
        <cfvo type="percent" val="0"/>
        <cfvo type="percent" val="$E$10-$F$10"/>
        <cfvo type="percent" val="$E$10"/>
      </iconSet>
    </cfRule>
    <cfRule type="iconSet" priority="428">
      <iconSet iconSet="3Arrows">
        <cfvo type="percent" val="0"/>
        <cfvo type="percent" val="33"/>
        <cfvo type="percent" val="67"/>
      </iconSet>
    </cfRule>
    <cfRule type="cellIs" priority="429" operator="greaterThan">
      <formula>$E$10</formula>
    </cfRule>
  </conditionalFormatting>
  <conditionalFormatting sqref="G45:G51">
    <cfRule type="iconSet" priority="597">
      <iconSet iconSet="3Arrows">
        <cfvo type="percent" val="0"/>
        <cfvo type="percent" val="33"/>
        <cfvo type="percent" val="67"/>
      </iconSet>
    </cfRule>
    <cfRule type="cellIs" priority="601" operator="greaterThan">
      <formula>$E$10</formula>
    </cfRule>
    <cfRule type="iconSet" priority="600">
      <iconSet iconSet="3Arrows">
        <cfvo type="percent" val="0"/>
        <cfvo type="percent" val="33"/>
        <cfvo type="percent" val="67"/>
      </iconSet>
    </cfRule>
    <cfRule type="iconSet" priority="599">
      <iconSet iconSet="3Arrows" showValue="0">
        <cfvo type="percent" val="0"/>
        <cfvo type="percent" val="$E$10-$F$10"/>
        <cfvo type="percent" val="$E$10"/>
      </iconSet>
    </cfRule>
    <cfRule type="iconSet" priority="596">
      <iconSet iconSet="3Arrows">
        <cfvo type="percent" val="0"/>
        <cfvo type="percent" val="33"/>
        <cfvo type="percent" val="67"/>
      </iconSet>
    </cfRule>
  </conditionalFormatting>
  <conditionalFormatting sqref="G46:G51">
    <cfRule type="iconSet" priority="1265">
      <iconSet iconSet="3Arrows">
        <cfvo type="percent" val="0"/>
        <cfvo type="percent" val="33"/>
        <cfvo type="percent" val="67"/>
      </iconSet>
    </cfRule>
    <cfRule type="iconSet" priority="1266">
      <iconSet iconSet="3Arrows">
        <cfvo type="percent" val="0"/>
        <cfvo type="percent" val="33"/>
        <cfvo type="percent" val="67"/>
      </iconSet>
    </cfRule>
    <cfRule type="iconSet" priority="1517">
      <iconSet iconSet="3Arrows">
        <cfvo type="percent" val="0"/>
        <cfvo type="percent" val="33"/>
        <cfvo type="percent" val="67"/>
      </iconSet>
    </cfRule>
    <cfRule type="iconSet" priority="1516">
      <iconSet iconSet="3Arrows" showValue="0">
        <cfvo type="percent" val="0"/>
        <cfvo type="percent" val="$E$10-$F$10"/>
        <cfvo type="percent" val="$E$10"/>
      </iconSet>
    </cfRule>
  </conditionalFormatting>
  <conditionalFormatting sqref="G54:G57">
    <cfRule type="cellIs" priority="407" operator="greaterThan">
      <formula>$E$10</formula>
    </cfRule>
    <cfRule type="iconSet" priority="406">
      <iconSet iconSet="3Arrows">
        <cfvo type="percent" val="0"/>
        <cfvo type="percent" val="33"/>
        <cfvo type="percent" val="67"/>
      </iconSet>
    </cfRule>
    <cfRule type="iconSet" priority="405">
      <iconSet iconSet="3Arrows" showValue="0">
        <cfvo type="percent" val="0"/>
        <cfvo type="percent" val="$E$10-$F$10"/>
        <cfvo type="percent" val="$E$10"/>
      </iconSet>
    </cfRule>
    <cfRule type="iconSet" priority="403">
      <iconSet iconSet="3Arrows">
        <cfvo type="percent" val="0"/>
        <cfvo type="percent" val="33"/>
        <cfvo type="percent" val="67"/>
      </iconSet>
    </cfRule>
    <cfRule type="iconSet" priority="402">
      <iconSet iconSet="3Arrows">
        <cfvo type="percent" val="0"/>
        <cfvo type="percent" val="33"/>
        <cfvo type="percent" val="67"/>
      </iconSet>
    </cfRule>
  </conditionalFormatting>
  <conditionalFormatting sqref="G63:G69">
    <cfRule type="cellIs" priority="592" operator="greaterThan">
      <formula>$E$10</formula>
    </cfRule>
    <cfRule type="iconSet" priority="591">
      <iconSet iconSet="3Arrows">
        <cfvo type="percent" val="0"/>
        <cfvo type="percent" val="33"/>
        <cfvo type="percent" val="67"/>
      </iconSet>
    </cfRule>
    <cfRule type="iconSet" priority="590">
      <iconSet iconSet="3Arrows" showValue="0">
        <cfvo type="percent" val="0"/>
        <cfvo type="percent" val="$E$10-$F$10"/>
        <cfvo type="percent" val="$E$10"/>
      </iconSet>
    </cfRule>
    <cfRule type="iconSet" priority="588">
      <iconSet iconSet="3Arrows">
        <cfvo type="percent" val="0"/>
        <cfvo type="percent" val="33"/>
        <cfvo type="percent" val="67"/>
      </iconSet>
    </cfRule>
    <cfRule type="iconSet" priority="587">
      <iconSet iconSet="3Arrows">
        <cfvo type="percent" val="0"/>
        <cfvo type="percent" val="33"/>
        <cfvo type="percent" val="67"/>
      </iconSet>
    </cfRule>
  </conditionalFormatting>
  <conditionalFormatting sqref="G64:G69">
    <cfRule type="iconSet" priority="1320">
      <iconSet iconSet="3Arrows">
        <cfvo type="percent" val="0"/>
        <cfvo type="percent" val="33"/>
        <cfvo type="percent" val="67"/>
      </iconSet>
    </cfRule>
    <cfRule type="iconSet" priority="1319">
      <iconSet iconSet="3Arrows">
        <cfvo type="percent" val="0"/>
        <cfvo type="percent" val="33"/>
        <cfvo type="percent" val="67"/>
      </iconSet>
    </cfRule>
    <cfRule type="iconSet" priority="1498">
      <iconSet iconSet="3Arrows" showValue="0">
        <cfvo type="percent" val="0"/>
        <cfvo type="percent" val="$E$10-$F$10"/>
        <cfvo type="percent" val="$E$10"/>
      </iconSet>
    </cfRule>
    <cfRule type="iconSet" priority="1499">
      <iconSet iconSet="3Arrows">
        <cfvo type="percent" val="0"/>
        <cfvo type="percent" val="33"/>
        <cfvo type="percent" val="67"/>
      </iconSet>
    </cfRule>
  </conditionalFormatting>
  <conditionalFormatting sqref="G72:G75">
    <cfRule type="cellIs" priority="385" operator="greaterThan">
      <formula>$E$10</formula>
    </cfRule>
    <cfRule type="iconSet" priority="384">
      <iconSet iconSet="3Arrows">
        <cfvo type="percent" val="0"/>
        <cfvo type="percent" val="33"/>
        <cfvo type="percent" val="67"/>
      </iconSet>
    </cfRule>
    <cfRule type="iconSet" priority="383">
      <iconSet iconSet="3Arrows" showValue="0">
        <cfvo type="percent" val="0"/>
        <cfvo type="percent" val="$E$10-$F$10"/>
        <cfvo type="percent" val="$E$10"/>
      </iconSet>
    </cfRule>
    <cfRule type="iconSet" priority="381">
      <iconSet iconSet="3Arrows">
        <cfvo type="percent" val="0"/>
        <cfvo type="percent" val="33"/>
        <cfvo type="percent" val="67"/>
      </iconSet>
    </cfRule>
    <cfRule type="iconSet" priority="380">
      <iconSet iconSet="3Arrows">
        <cfvo type="percent" val="0"/>
        <cfvo type="percent" val="33"/>
        <cfvo type="percent" val="67"/>
      </iconSet>
    </cfRule>
  </conditionalFormatting>
  <conditionalFormatting sqref="G84:G90">
    <cfRule type="cellIs" priority="583" operator="greaterThan">
      <formula>$E$10</formula>
    </cfRule>
    <cfRule type="iconSet" priority="582">
      <iconSet iconSet="3Arrows">
        <cfvo type="percent" val="0"/>
        <cfvo type="percent" val="33"/>
        <cfvo type="percent" val="67"/>
      </iconSet>
    </cfRule>
    <cfRule type="iconSet" priority="581">
      <iconSet iconSet="3Arrows" showValue="0">
        <cfvo type="percent" val="0"/>
        <cfvo type="percent" val="$E$10-$F$10"/>
        <cfvo type="percent" val="$E$10"/>
      </iconSet>
    </cfRule>
    <cfRule type="iconSet" priority="579">
      <iconSet iconSet="3Arrows">
        <cfvo type="percent" val="0"/>
        <cfvo type="percent" val="33"/>
        <cfvo type="percent" val="67"/>
      </iconSet>
    </cfRule>
    <cfRule type="iconSet" priority="578">
      <iconSet iconSet="3Arrows">
        <cfvo type="percent" val="0"/>
        <cfvo type="percent" val="33"/>
        <cfvo type="percent" val="67"/>
      </iconSet>
    </cfRule>
  </conditionalFormatting>
  <conditionalFormatting sqref="G85:G90">
    <cfRule type="iconSet" priority="1310">
      <iconSet iconSet="3Arrows">
        <cfvo type="percent" val="0"/>
        <cfvo type="percent" val="33"/>
        <cfvo type="percent" val="67"/>
      </iconSet>
    </cfRule>
    <cfRule type="iconSet" priority="1502">
      <iconSet iconSet="3Arrows">
        <cfvo type="percent" val="0"/>
        <cfvo type="percent" val="33"/>
        <cfvo type="percent" val="67"/>
      </iconSet>
    </cfRule>
    <cfRule type="iconSet" priority="1501">
      <iconSet iconSet="3Arrows" showValue="0">
        <cfvo type="percent" val="0"/>
        <cfvo type="percent" val="$E$10-$F$10"/>
        <cfvo type="percent" val="$E$10"/>
      </iconSet>
    </cfRule>
    <cfRule type="iconSet" priority="1311">
      <iconSet iconSet="3Arrows">
        <cfvo type="percent" val="0"/>
        <cfvo type="percent" val="33"/>
        <cfvo type="percent" val="67"/>
      </iconSet>
    </cfRule>
  </conditionalFormatting>
  <conditionalFormatting sqref="G93:G96">
    <cfRule type="iconSet" priority="359">
      <iconSet iconSet="3Arrows">
        <cfvo type="percent" val="0"/>
        <cfvo type="percent" val="33"/>
        <cfvo type="percent" val="67"/>
      </iconSet>
    </cfRule>
    <cfRule type="iconSet" priority="358">
      <iconSet iconSet="3Arrows">
        <cfvo type="percent" val="0"/>
        <cfvo type="percent" val="33"/>
        <cfvo type="percent" val="67"/>
      </iconSet>
    </cfRule>
    <cfRule type="iconSet" priority="361">
      <iconSet iconSet="3Arrows" showValue="0">
        <cfvo type="percent" val="0"/>
        <cfvo type="percent" val="$E$10-$F$10"/>
        <cfvo type="percent" val="$E$10"/>
      </iconSet>
    </cfRule>
    <cfRule type="iconSet" priority="362">
      <iconSet iconSet="3Arrows">
        <cfvo type="percent" val="0"/>
        <cfvo type="percent" val="33"/>
        <cfvo type="percent" val="67"/>
      </iconSet>
    </cfRule>
    <cfRule type="cellIs" priority="363" operator="greaterThan">
      <formula>$E$10</formula>
    </cfRule>
  </conditionalFormatting>
  <conditionalFormatting sqref="G104:G110">
    <cfRule type="iconSet" priority="570">
      <iconSet iconSet="3Arrows">
        <cfvo type="percent" val="0"/>
        <cfvo type="percent" val="33"/>
        <cfvo type="percent" val="67"/>
      </iconSet>
    </cfRule>
    <cfRule type="iconSet" priority="569">
      <iconSet iconSet="3Arrows">
        <cfvo type="percent" val="0"/>
        <cfvo type="percent" val="33"/>
        <cfvo type="percent" val="67"/>
      </iconSet>
    </cfRule>
    <cfRule type="iconSet" priority="572">
      <iconSet iconSet="3Arrows" showValue="0">
        <cfvo type="percent" val="0"/>
        <cfvo type="percent" val="$E$10-$F$10"/>
        <cfvo type="percent" val="$E$10"/>
      </iconSet>
    </cfRule>
    <cfRule type="cellIs" priority="574" operator="greaterThan">
      <formula>$E$10</formula>
    </cfRule>
    <cfRule type="iconSet" priority="573">
      <iconSet iconSet="3Arrows">
        <cfvo type="percent" val="0"/>
        <cfvo type="percent" val="33"/>
        <cfvo type="percent" val="67"/>
      </iconSet>
    </cfRule>
  </conditionalFormatting>
  <conditionalFormatting sqref="G105:G110">
    <cfRule type="iconSet" priority="1505">
      <iconSet iconSet="3Arrows">
        <cfvo type="percent" val="0"/>
        <cfvo type="percent" val="33"/>
        <cfvo type="percent" val="67"/>
      </iconSet>
    </cfRule>
    <cfRule type="iconSet" priority="1301">
      <iconSet iconSet="3Arrows">
        <cfvo type="percent" val="0"/>
        <cfvo type="percent" val="33"/>
        <cfvo type="percent" val="67"/>
      </iconSet>
    </cfRule>
    <cfRule type="iconSet" priority="1302">
      <iconSet iconSet="3Arrows">
        <cfvo type="percent" val="0"/>
        <cfvo type="percent" val="33"/>
        <cfvo type="percent" val="67"/>
      </iconSet>
    </cfRule>
    <cfRule type="iconSet" priority="1504">
      <iconSet iconSet="3Arrows" showValue="0">
        <cfvo type="percent" val="0"/>
        <cfvo type="percent" val="$E$10-$F$10"/>
        <cfvo type="percent" val="$E$10"/>
      </iconSet>
    </cfRule>
  </conditionalFormatting>
  <conditionalFormatting sqref="G113:G116">
    <cfRule type="iconSet" priority="336">
      <iconSet iconSet="3Arrows">
        <cfvo type="percent" val="0"/>
        <cfvo type="percent" val="33"/>
        <cfvo type="percent" val="67"/>
      </iconSet>
    </cfRule>
    <cfRule type="iconSet" priority="340">
      <iconSet iconSet="3Arrows">
        <cfvo type="percent" val="0"/>
        <cfvo type="percent" val="33"/>
        <cfvo type="percent" val="67"/>
      </iconSet>
    </cfRule>
    <cfRule type="iconSet" priority="339">
      <iconSet iconSet="3Arrows" showValue="0">
        <cfvo type="percent" val="0"/>
        <cfvo type="percent" val="$E$10-$F$10"/>
        <cfvo type="percent" val="$E$10"/>
      </iconSet>
    </cfRule>
    <cfRule type="iconSet" priority="337">
      <iconSet iconSet="3Arrows">
        <cfvo type="percent" val="0"/>
        <cfvo type="percent" val="33"/>
        <cfvo type="percent" val="67"/>
      </iconSet>
    </cfRule>
    <cfRule type="cellIs" priority="341" operator="greaterThan">
      <formula>$E$10</formula>
    </cfRule>
  </conditionalFormatting>
  <conditionalFormatting sqref="G124:G130">
    <cfRule type="iconSet" priority="560">
      <iconSet iconSet="3Arrows">
        <cfvo type="percent" val="0"/>
        <cfvo type="percent" val="33"/>
        <cfvo type="percent" val="67"/>
      </iconSet>
    </cfRule>
    <cfRule type="iconSet" priority="561">
      <iconSet iconSet="3Arrows">
        <cfvo type="percent" val="0"/>
        <cfvo type="percent" val="33"/>
        <cfvo type="percent" val="67"/>
      </iconSet>
    </cfRule>
    <cfRule type="iconSet" priority="563">
      <iconSet iconSet="3Arrows" showValue="0">
        <cfvo type="percent" val="0"/>
        <cfvo type="percent" val="$E$10-$F$10"/>
        <cfvo type="percent" val="$E$10"/>
      </iconSet>
    </cfRule>
    <cfRule type="iconSet" priority="564">
      <iconSet iconSet="3Arrows">
        <cfvo type="percent" val="0"/>
        <cfvo type="percent" val="33"/>
        <cfvo type="percent" val="67"/>
      </iconSet>
    </cfRule>
    <cfRule type="cellIs" priority="565" operator="greaterThan">
      <formula>$E$10</formula>
    </cfRule>
  </conditionalFormatting>
  <conditionalFormatting sqref="G125:G130">
    <cfRule type="iconSet" priority="1292">
      <iconSet iconSet="3Arrows">
        <cfvo type="percent" val="0"/>
        <cfvo type="percent" val="33"/>
        <cfvo type="percent" val="67"/>
      </iconSet>
    </cfRule>
    <cfRule type="iconSet" priority="1293">
      <iconSet iconSet="3Arrows">
        <cfvo type="percent" val="0"/>
        <cfvo type="percent" val="33"/>
        <cfvo type="percent" val="67"/>
      </iconSet>
    </cfRule>
    <cfRule type="iconSet" priority="1507">
      <iconSet iconSet="3Arrows" showValue="0">
        <cfvo type="percent" val="0"/>
        <cfvo type="percent" val="$E$10-$F$10"/>
        <cfvo type="percent" val="$E$10"/>
      </iconSet>
    </cfRule>
    <cfRule type="iconSet" priority="1508">
      <iconSet iconSet="3Arrows">
        <cfvo type="percent" val="0"/>
        <cfvo type="percent" val="33"/>
        <cfvo type="percent" val="67"/>
      </iconSet>
    </cfRule>
  </conditionalFormatting>
  <conditionalFormatting sqref="G133:G136">
    <cfRule type="iconSet" priority="314">
      <iconSet iconSet="3Arrows">
        <cfvo type="percent" val="0"/>
        <cfvo type="percent" val="33"/>
        <cfvo type="percent" val="67"/>
      </iconSet>
    </cfRule>
    <cfRule type="iconSet" priority="315">
      <iconSet iconSet="3Arrows">
        <cfvo type="percent" val="0"/>
        <cfvo type="percent" val="33"/>
        <cfvo type="percent" val="67"/>
      </iconSet>
    </cfRule>
    <cfRule type="iconSet" priority="318">
      <iconSet iconSet="3Arrows">
        <cfvo type="percent" val="0"/>
        <cfvo type="percent" val="33"/>
        <cfvo type="percent" val="67"/>
      </iconSet>
    </cfRule>
    <cfRule type="iconSet" priority="317">
      <iconSet iconSet="3Arrows" showValue="0">
        <cfvo type="percent" val="0"/>
        <cfvo type="percent" val="$E$10-$F$10"/>
        <cfvo type="percent" val="$E$10"/>
      </iconSet>
    </cfRule>
    <cfRule type="cellIs" priority="319" operator="greaterThan">
      <formula>$E$10</formula>
    </cfRule>
  </conditionalFormatting>
  <conditionalFormatting sqref="G145:G151">
    <cfRule type="cellIs" priority="556" operator="greaterThan">
      <formula>$E$10</formula>
    </cfRule>
    <cfRule type="iconSet" priority="555">
      <iconSet iconSet="3Arrows">
        <cfvo type="percent" val="0"/>
        <cfvo type="percent" val="33"/>
        <cfvo type="percent" val="67"/>
      </iconSet>
    </cfRule>
    <cfRule type="iconSet" priority="554">
      <iconSet iconSet="3Arrows" showValue="0">
        <cfvo type="percent" val="0"/>
        <cfvo type="percent" val="$E$10-$F$10"/>
        <cfvo type="percent" val="$E$10"/>
      </iconSet>
    </cfRule>
    <cfRule type="iconSet" priority="552">
      <iconSet iconSet="3Arrows">
        <cfvo type="percent" val="0"/>
        <cfvo type="percent" val="33"/>
        <cfvo type="percent" val="67"/>
      </iconSet>
    </cfRule>
    <cfRule type="iconSet" priority="551">
      <iconSet iconSet="3Arrows">
        <cfvo type="percent" val="0"/>
        <cfvo type="percent" val="33"/>
        <cfvo type="percent" val="67"/>
      </iconSet>
    </cfRule>
  </conditionalFormatting>
  <conditionalFormatting sqref="G146:G151">
    <cfRule type="iconSet" priority="1284">
      <iconSet iconSet="3Arrows">
        <cfvo type="percent" val="0"/>
        <cfvo type="percent" val="33"/>
        <cfvo type="percent" val="67"/>
      </iconSet>
    </cfRule>
    <cfRule type="iconSet" priority="1510">
      <iconSet iconSet="3Arrows" showValue="0">
        <cfvo type="percent" val="0"/>
        <cfvo type="percent" val="$E$10-$F$10"/>
        <cfvo type="percent" val="$E$10"/>
      </iconSet>
    </cfRule>
    <cfRule type="iconSet" priority="1283">
      <iconSet iconSet="3Arrows">
        <cfvo type="percent" val="0"/>
        <cfvo type="percent" val="33"/>
        <cfvo type="percent" val="67"/>
      </iconSet>
    </cfRule>
    <cfRule type="iconSet" priority="1511">
      <iconSet iconSet="3Arrows">
        <cfvo type="percent" val="0"/>
        <cfvo type="percent" val="33"/>
        <cfvo type="percent" val="67"/>
      </iconSet>
    </cfRule>
  </conditionalFormatting>
  <conditionalFormatting sqref="G154:G157">
    <cfRule type="iconSet" priority="295">
      <iconSet iconSet="3Arrows" showValue="0">
        <cfvo type="percent" val="0"/>
        <cfvo type="percent" val="$E$10-$F$10"/>
        <cfvo type="percent" val="$E$10"/>
      </iconSet>
    </cfRule>
    <cfRule type="iconSet" priority="296">
      <iconSet iconSet="3Arrows">
        <cfvo type="percent" val="0"/>
        <cfvo type="percent" val="33"/>
        <cfvo type="percent" val="67"/>
      </iconSet>
    </cfRule>
    <cfRule type="cellIs" priority="297" operator="greaterThan">
      <formula>$E$10</formula>
    </cfRule>
    <cfRule type="iconSet" priority="292">
      <iconSet iconSet="3Arrows">
        <cfvo type="percent" val="0"/>
        <cfvo type="percent" val="33"/>
        <cfvo type="percent" val="67"/>
      </iconSet>
    </cfRule>
    <cfRule type="iconSet" priority="293">
      <iconSet iconSet="3Arrows">
        <cfvo type="percent" val="0"/>
        <cfvo type="percent" val="33"/>
        <cfvo type="percent" val="67"/>
      </iconSet>
    </cfRule>
  </conditionalFormatting>
  <conditionalFormatting sqref="G165:G171">
    <cfRule type="iconSet" priority="542">
      <iconSet iconSet="3Arrows">
        <cfvo type="percent" val="0"/>
        <cfvo type="percent" val="33"/>
        <cfvo type="percent" val="67"/>
      </iconSet>
    </cfRule>
    <cfRule type="iconSet" priority="543">
      <iconSet iconSet="3Arrows">
        <cfvo type="percent" val="0"/>
        <cfvo type="percent" val="33"/>
        <cfvo type="percent" val="67"/>
      </iconSet>
    </cfRule>
    <cfRule type="iconSet" priority="546">
      <iconSet iconSet="3Arrows">
        <cfvo type="percent" val="0"/>
        <cfvo type="percent" val="33"/>
        <cfvo type="percent" val="67"/>
      </iconSet>
    </cfRule>
    <cfRule type="cellIs" priority="547" operator="greaterThan">
      <formula>$E$10</formula>
    </cfRule>
    <cfRule type="iconSet" priority="545">
      <iconSet iconSet="3Arrows" showValue="0">
        <cfvo type="percent" val="0"/>
        <cfvo type="percent" val="$E$10-$F$10"/>
        <cfvo type="percent" val="$E$10"/>
      </iconSet>
    </cfRule>
  </conditionalFormatting>
  <conditionalFormatting sqref="G166:G171">
    <cfRule type="iconSet" priority="1514">
      <iconSet iconSet="3Arrows">
        <cfvo type="percent" val="0"/>
        <cfvo type="percent" val="33"/>
        <cfvo type="percent" val="67"/>
      </iconSet>
    </cfRule>
    <cfRule type="iconSet" priority="1513">
      <iconSet iconSet="3Arrows" showValue="0">
        <cfvo type="percent" val="0"/>
        <cfvo type="percent" val="$E$10-$F$10"/>
        <cfvo type="percent" val="$E$10"/>
      </iconSet>
    </cfRule>
    <cfRule type="iconSet" priority="1275">
      <iconSet iconSet="3Arrows">
        <cfvo type="percent" val="0"/>
        <cfvo type="percent" val="33"/>
        <cfvo type="percent" val="67"/>
      </iconSet>
    </cfRule>
    <cfRule type="iconSet" priority="1274">
      <iconSet iconSet="3Arrows">
        <cfvo type="percent" val="0"/>
        <cfvo type="percent" val="33"/>
        <cfvo type="percent" val="67"/>
      </iconSet>
    </cfRule>
  </conditionalFormatting>
  <conditionalFormatting sqref="G174:G177">
    <cfRule type="iconSet" priority="273">
      <iconSet iconSet="3Arrows" showValue="0">
        <cfvo type="percent" val="0"/>
        <cfvo type="percent" val="$E$10-$F$10"/>
        <cfvo type="percent" val="$E$10"/>
      </iconSet>
    </cfRule>
    <cfRule type="iconSet" priority="274">
      <iconSet iconSet="3Arrows">
        <cfvo type="percent" val="0"/>
        <cfvo type="percent" val="33"/>
        <cfvo type="percent" val="67"/>
      </iconSet>
    </cfRule>
    <cfRule type="cellIs" priority="275" operator="greaterThan">
      <formula>$E$10</formula>
    </cfRule>
    <cfRule type="iconSet" priority="271">
      <iconSet iconSet="3Arrows">
        <cfvo type="percent" val="0"/>
        <cfvo type="percent" val="33"/>
        <cfvo type="percent" val="67"/>
      </iconSet>
    </cfRule>
    <cfRule type="iconSet" priority="270">
      <iconSet iconSet="3Arrows">
        <cfvo type="percent" val="0"/>
        <cfvo type="percent" val="33"/>
        <cfvo type="percent" val="67"/>
      </iconSet>
    </cfRule>
  </conditionalFormatting>
  <conditionalFormatting sqref="G185:G191">
    <cfRule type="iconSet" priority="534">
      <iconSet iconSet="3Arrows">
        <cfvo type="percent" val="0"/>
        <cfvo type="percent" val="33"/>
        <cfvo type="percent" val="67"/>
      </iconSet>
    </cfRule>
    <cfRule type="iconSet" priority="537">
      <iconSet iconSet="3Arrows">
        <cfvo type="percent" val="0"/>
        <cfvo type="percent" val="33"/>
        <cfvo type="percent" val="67"/>
      </iconSet>
    </cfRule>
    <cfRule type="cellIs" priority="538" operator="greaterThan">
      <formula>$E$10</formula>
    </cfRule>
    <cfRule type="iconSet" priority="536">
      <iconSet iconSet="3Arrows" showValue="0">
        <cfvo type="percent" val="0"/>
        <cfvo type="percent" val="$E$10-$F$10"/>
        <cfvo type="percent" val="$E$10"/>
      </iconSet>
    </cfRule>
    <cfRule type="iconSet" priority="533">
      <iconSet iconSet="3Arrows">
        <cfvo type="percent" val="0"/>
        <cfvo type="percent" val="33"/>
        <cfvo type="percent" val="67"/>
      </iconSet>
    </cfRule>
  </conditionalFormatting>
  <conditionalFormatting sqref="G186:G191">
    <cfRule type="iconSet" priority="1256">
      <iconSet iconSet="3Arrows">
        <cfvo type="percent" val="0"/>
        <cfvo type="percent" val="33"/>
        <cfvo type="percent" val="67"/>
      </iconSet>
    </cfRule>
    <cfRule type="iconSet" priority="1255">
      <iconSet iconSet="3Arrows">
        <cfvo type="percent" val="0"/>
        <cfvo type="percent" val="33"/>
        <cfvo type="percent" val="67"/>
      </iconSet>
    </cfRule>
    <cfRule type="iconSet" priority="1523">
      <iconSet iconSet="3Arrows">
        <cfvo type="percent" val="0"/>
        <cfvo type="percent" val="33"/>
        <cfvo type="percent" val="67"/>
      </iconSet>
    </cfRule>
    <cfRule type="iconSet" priority="1522">
      <iconSet iconSet="3Arrows" showValue="0">
        <cfvo type="percent" val="0"/>
        <cfvo type="percent" val="$E$10-$F$10"/>
        <cfvo type="percent" val="$E$10"/>
      </iconSet>
    </cfRule>
  </conditionalFormatting>
  <conditionalFormatting sqref="G194:G197">
    <cfRule type="iconSet" priority="252">
      <iconSet iconSet="3Arrows">
        <cfvo type="percent" val="0"/>
        <cfvo type="percent" val="33"/>
        <cfvo type="percent" val="67"/>
      </iconSet>
    </cfRule>
    <cfRule type="iconSet" priority="248">
      <iconSet iconSet="3Arrows">
        <cfvo type="percent" val="0"/>
        <cfvo type="percent" val="33"/>
        <cfvo type="percent" val="67"/>
      </iconSet>
    </cfRule>
    <cfRule type="iconSet" priority="249">
      <iconSet iconSet="3Arrows">
        <cfvo type="percent" val="0"/>
        <cfvo type="percent" val="33"/>
        <cfvo type="percent" val="67"/>
      </iconSet>
    </cfRule>
    <cfRule type="iconSet" priority="251">
      <iconSet iconSet="3Arrows" showValue="0">
        <cfvo type="percent" val="0"/>
        <cfvo type="percent" val="$E$10-$F$10"/>
        <cfvo type="percent" val="$E$10"/>
      </iconSet>
    </cfRule>
    <cfRule type="cellIs" priority="253" operator="greaterThan">
      <formula>$E$10</formula>
    </cfRule>
  </conditionalFormatting>
  <conditionalFormatting sqref="G206:G212">
    <cfRule type="iconSet" priority="528">
      <iconSet iconSet="3Arrows">
        <cfvo type="percent" val="0"/>
        <cfvo type="percent" val="33"/>
        <cfvo type="percent" val="67"/>
      </iconSet>
    </cfRule>
    <cfRule type="cellIs" priority="529" operator="greaterThan">
      <formula>$E$10</formula>
    </cfRule>
    <cfRule type="iconSet" priority="527">
      <iconSet iconSet="3Arrows" showValue="0">
        <cfvo type="percent" val="0"/>
        <cfvo type="percent" val="$E$10-$F$10"/>
        <cfvo type="percent" val="$E$10"/>
      </iconSet>
    </cfRule>
    <cfRule type="iconSet" priority="525">
      <iconSet iconSet="3Arrows">
        <cfvo type="percent" val="0"/>
        <cfvo type="percent" val="33"/>
        <cfvo type="percent" val="67"/>
      </iconSet>
    </cfRule>
    <cfRule type="iconSet" priority="524">
      <iconSet iconSet="3Arrows">
        <cfvo type="percent" val="0"/>
        <cfvo type="percent" val="33"/>
        <cfvo type="percent" val="67"/>
      </iconSet>
    </cfRule>
  </conditionalFormatting>
  <conditionalFormatting sqref="G207:G212">
    <cfRule type="iconSet" priority="1244">
      <iconSet iconSet="3Arrows">
        <cfvo type="percent" val="0"/>
        <cfvo type="percent" val="33"/>
        <cfvo type="percent" val="67"/>
      </iconSet>
    </cfRule>
    <cfRule type="iconSet" priority="1525">
      <iconSet iconSet="3Arrows" showValue="0">
        <cfvo type="percent" val="0"/>
        <cfvo type="percent" val="$E$10-$F$10"/>
        <cfvo type="percent" val="$E$10"/>
      </iconSet>
    </cfRule>
    <cfRule type="iconSet" priority="1245">
      <iconSet iconSet="3Arrows">
        <cfvo type="percent" val="0"/>
        <cfvo type="percent" val="33"/>
        <cfvo type="percent" val="67"/>
      </iconSet>
    </cfRule>
    <cfRule type="iconSet" priority="1526">
      <iconSet iconSet="3Arrows">
        <cfvo type="percent" val="0"/>
        <cfvo type="percent" val="33"/>
        <cfvo type="percent" val="67"/>
      </iconSet>
    </cfRule>
  </conditionalFormatting>
  <conditionalFormatting sqref="G215:G218">
    <cfRule type="iconSet" priority="229">
      <iconSet iconSet="3Arrows" showValue="0">
        <cfvo type="percent" val="0"/>
        <cfvo type="percent" val="$E$10-$F$10"/>
        <cfvo type="percent" val="$E$10"/>
      </iconSet>
    </cfRule>
    <cfRule type="iconSet" priority="230">
      <iconSet iconSet="3Arrows">
        <cfvo type="percent" val="0"/>
        <cfvo type="percent" val="33"/>
        <cfvo type="percent" val="67"/>
      </iconSet>
    </cfRule>
    <cfRule type="cellIs" priority="231" operator="greaterThan">
      <formula>$E$10</formula>
    </cfRule>
    <cfRule type="iconSet" priority="226">
      <iconSet iconSet="3Arrows">
        <cfvo type="percent" val="0"/>
        <cfvo type="percent" val="33"/>
        <cfvo type="percent" val="67"/>
      </iconSet>
    </cfRule>
    <cfRule type="iconSet" priority="227">
      <iconSet iconSet="3Arrows">
        <cfvo type="percent" val="0"/>
        <cfvo type="percent" val="33"/>
        <cfvo type="percent" val="67"/>
      </iconSet>
    </cfRule>
  </conditionalFormatting>
  <conditionalFormatting sqref="G226:G232">
    <cfRule type="iconSet" priority="518">
      <iconSet iconSet="3Arrows" showValue="0">
        <cfvo type="percent" val="0"/>
        <cfvo type="percent" val="$E$10-$F$10"/>
        <cfvo type="percent" val="$E$10"/>
      </iconSet>
    </cfRule>
    <cfRule type="iconSet" priority="519">
      <iconSet iconSet="3Arrows">
        <cfvo type="percent" val="0"/>
        <cfvo type="percent" val="33"/>
        <cfvo type="percent" val="67"/>
      </iconSet>
    </cfRule>
    <cfRule type="cellIs" priority="520" operator="greaterThan">
      <formula>$E$10</formula>
    </cfRule>
    <cfRule type="iconSet" priority="516">
      <iconSet iconSet="3Arrows">
        <cfvo type="percent" val="0"/>
        <cfvo type="percent" val="33"/>
        <cfvo type="percent" val="67"/>
      </iconSet>
    </cfRule>
    <cfRule type="iconSet" priority="515">
      <iconSet iconSet="3Arrows">
        <cfvo type="percent" val="0"/>
        <cfvo type="percent" val="33"/>
        <cfvo type="percent" val="67"/>
      </iconSet>
    </cfRule>
  </conditionalFormatting>
  <conditionalFormatting sqref="G227:G232">
    <cfRule type="iconSet" priority="1529">
      <iconSet iconSet="3Arrows">
        <cfvo type="percent" val="0"/>
        <cfvo type="percent" val="33"/>
        <cfvo type="percent" val="67"/>
      </iconSet>
    </cfRule>
    <cfRule type="iconSet" priority="1528">
      <iconSet iconSet="3Arrows" showValue="0">
        <cfvo type="percent" val="0"/>
        <cfvo type="percent" val="$E$10-$F$10"/>
        <cfvo type="percent" val="$E$10"/>
      </iconSet>
    </cfRule>
    <cfRule type="iconSet" priority="1234">
      <iconSet iconSet="3Arrows">
        <cfvo type="percent" val="0"/>
        <cfvo type="percent" val="33"/>
        <cfvo type="percent" val="67"/>
      </iconSet>
    </cfRule>
    <cfRule type="iconSet" priority="1235">
      <iconSet iconSet="3Arrows">
        <cfvo type="percent" val="0"/>
        <cfvo type="percent" val="33"/>
        <cfvo type="percent" val="67"/>
      </iconSet>
    </cfRule>
  </conditionalFormatting>
  <conditionalFormatting sqref="G235:G238">
    <cfRule type="cellIs" priority="209" operator="greaterThan">
      <formula>$E$10</formula>
    </cfRule>
    <cfRule type="iconSet" priority="208">
      <iconSet iconSet="3Arrows">
        <cfvo type="percent" val="0"/>
        <cfvo type="percent" val="33"/>
        <cfvo type="percent" val="67"/>
      </iconSet>
    </cfRule>
    <cfRule type="iconSet" priority="207">
      <iconSet iconSet="3Arrows" showValue="0">
        <cfvo type="percent" val="0"/>
        <cfvo type="percent" val="$E$10-$F$10"/>
        <cfvo type="percent" val="$E$10"/>
      </iconSet>
    </cfRule>
    <cfRule type="iconSet" priority="205">
      <iconSet iconSet="3Arrows">
        <cfvo type="percent" val="0"/>
        <cfvo type="percent" val="33"/>
        <cfvo type="percent" val="67"/>
      </iconSet>
    </cfRule>
    <cfRule type="iconSet" priority="204">
      <iconSet iconSet="3Arrows">
        <cfvo type="percent" val="0"/>
        <cfvo type="percent" val="33"/>
        <cfvo type="percent" val="67"/>
      </iconSet>
    </cfRule>
  </conditionalFormatting>
  <conditionalFormatting sqref="G245:G251">
    <cfRule type="iconSet" priority="507">
      <iconSet iconSet="3Arrows">
        <cfvo type="percent" val="0"/>
        <cfvo type="percent" val="33"/>
        <cfvo type="percent" val="67"/>
      </iconSet>
    </cfRule>
    <cfRule type="cellIs" priority="511" operator="greaterThan">
      <formula>$E$10</formula>
    </cfRule>
    <cfRule type="iconSet" priority="510">
      <iconSet iconSet="3Arrows">
        <cfvo type="percent" val="0"/>
        <cfvo type="percent" val="33"/>
        <cfvo type="percent" val="67"/>
      </iconSet>
    </cfRule>
    <cfRule type="iconSet" priority="509">
      <iconSet iconSet="3Arrows" showValue="0">
        <cfvo type="percent" val="0"/>
        <cfvo type="percent" val="$E$10-$F$10"/>
        <cfvo type="percent" val="$E$10"/>
      </iconSet>
    </cfRule>
    <cfRule type="iconSet" priority="506">
      <iconSet iconSet="3Arrows">
        <cfvo type="percent" val="0"/>
        <cfvo type="percent" val="33"/>
        <cfvo type="percent" val="67"/>
      </iconSet>
    </cfRule>
  </conditionalFormatting>
  <conditionalFormatting sqref="G246:G251">
    <cfRule type="iconSet" priority="1225">
      <iconSet iconSet="3Arrows">
        <cfvo type="percent" val="0"/>
        <cfvo type="percent" val="33"/>
        <cfvo type="percent" val="67"/>
      </iconSet>
    </cfRule>
    <cfRule type="iconSet" priority="1224">
      <iconSet iconSet="3Arrows">
        <cfvo type="percent" val="0"/>
        <cfvo type="percent" val="33"/>
        <cfvo type="percent" val="67"/>
      </iconSet>
    </cfRule>
    <cfRule type="iconSet" priority="1531">
      <iconSet iconSet="3Arrows" showValue="0">
        <cfvo type="percent" val="0"/>
        <cfvo type="percent" val="$E$10-$F$10"/>
        <cfvo type="percent" val="$E$10"/>
      </iconSet>
    </cfRule>
    <cfRule type="iconSet" priority="1532">
      <iconSet iconSet="3Arrows">
        <cfvo type="percent" val="0"/>
        <cfvo type="percent" val="33"/>
        <cfvo type="percent" val="67"/>
      </iconSet>
    </cfRule>
  </conditionalFormatting>
  <conditionalFormatting sqref="G254:G257">
    <cfRule type="iconSet" priority="182">
      <iconSet iconSet="3Arrows">
        <cfvo type="percent" val="0"/>
        <cfvo type="percent" val="33"/>
        <cfvo type="percent" val="67"/>
      </iconSet>
    </cfRule>
    <cfRule type="iconSet" priority="183">
      <iconSet iconSet="3Arrows">
        <cfvo type="percent" val="0"/>
        <cfvo type="percent" val="33"/>
        <cfvo type="percent" val="67"/>
      </iconSet>
    </cfRule>
    <cfRule type="iconSet" priority="185">
      <iconSet iconSet="3Arrows" showValue="0">
        <cfvo type="percent" val="0"/>
        <cfvo type="percent" val="$E$10-$F$10"/>
        <cfvo type="percent" val="$E$10"/>
      </iconSet>
    </cfRule>
    <cfRule type="iconSet" priority="186">
      <iconSet iconSet="3Arrows">
        <cfvo type="percent" val="0"/>
        <cfvo type="percent" val="33"/>
        <cfvo type="percent" val="67"/>
      </iconSet>
    </cfRule>
    <cfRule type="cellIs" priority="187" operator="greaterThan">
      <formula>$E$10</formula>
    </cfRule>
  </conditionalFormatting>
  <conditionalFormatting sqref="G264:G270">
    <cfRule type="iconSet" priority="500">
      <iconSet iconSet="3Arrows" showValue="0">
        <cfvo type="percent" val="0"/>
        <cfvo type="percent" val="$E$10-$F$10"/>
        <cfvo type="percent" val="$E$10"/>
      </iconSet>
    </cfRule>
    <cfRule type="iconSet" priority="497">
      <iconSet iconSet="3Arrows">
        <cfvo type="percent" val="0"/>
        <cfvo type="percent" val="33"/>
        <cfvo type="percent" val="67"/>
      </iconSet>
    </cfRule>
    <cfRule type="cellIs" priority="502" operator="greaterThan">
      <formula>$E$10</formula>
    </cfRule>
    <cfRule type="iconSet" priority="501">
      <iconSet iconSet="3Arrows">
        <cfvo type="percent" val="0"/>
        <cfvo type="percent" val="33"/>
        <cfvo type="percent" val="67"/>
      </iconSet>
    </cfRule>
    <cfRule type="iconSet" priority="498">
      <iconSet iconSet="3Arrows">
        <cfvo type="percent" val="0"/>
        <cfvo type="percent" val="33"/>
        <cfvo type="percent" val="67"/>
      </iconSet>
    </cfRule>
  </conditionalFormatting>
  <conditionalFormatting sqref="G265:G270">
    <cfRule type="iconSet" priority="1214">
      <iconSet iconSet="3Arrows">
        <cfvo type="percent" val="0"/>
        <cfvo type="percent" val="33"/>
        <cfvo type="percent" val="67"/>
      </iconSet>
    </cfRule>
    <cfRule type="iconSet" priority="1535">
      <iconSet iconSet="3Arrows">
        <cfvo type="percent" val="0"/>
        <cfvo type="percent" val="33"/>
        <cfvo type="percent" val="67"/>
      </iconSet>
    </cfRule>
    <cfRule type="iconSet" priority="1534">
      <iconSet iconSet="3Arrows" showValue="0">
        <cfvo type="percent" val="0"/>
        <cfvo type="percent" val="$E$10-$F$10"/>
        <cfvo type="percent" val="$E$10"/>
      </iconSet>
    </cfRule>
    <cfRule type="iconSet" priority="1215">
      <iconSet iconSet="3Arrows">
        <cfvo type="percent" val="0"/>
        <cfvo type="percent" val="33"/>
        <cfvo type="percent" val="67"/>
      </iconSet>
    </cfRule>
  </conditionalFormatting>
  <conditionalFormatting sqref="G273:G276">
    <cfRule type="iconSet" priority="163">
      <iconSet iconSet="3Arrows" showValue="0">
        <cfvo type="percent" val="0"/>
        <cfvo type="percent" val="$E$10-$F$10"/>
        <cfvo type="percent" val="$E$10"/>
      </iconSet>
    </cfRule>
    <cfRule type="iconSet" priority="164">
      <iconSet iconSet="3Arrows">
        <cfvo type="percent" val="0"/>
        <cfvo type="percent" val="33"/>
        <cfvo type="percent" val="67"/>
      </iconSet>
    </cfRule>
    <cfRule type="cellIs" priority="165" operator="greaterThan">
      <formula>$E$10</formula>
    </cfRule>
    <cfRule type="iconSet" priority="160">
      <iconSet iconSet="3Arrows">
        <cfvo type="percent" val="0"/>
        <cfvo type="percent" val="33"/>
        <cfvo type="percent" val="67"/>
      </iconSet>
    </cfRule>
    <cfRule type="iconSet" priority="161">
      <iconSet iconSet="3Arrows">
        <cfvo type="percent" val="0"/>
        <cfvo type="percent" val="33"/>
        <cfvo type="percent" val="67"/>
      </iconSet>
    </cfRule>
  </conditionalFormatting>
  <conditionalFormatting sqref="G284:G290">
    <cfRule type="iconSet" priority="488">
      <iconSet iconSet="3Arrows">
        <cfvo type="percent" val="0"/>
        <cfvo type="percent" val="33"/>
        <cfvo type="percent" val="67"/>
      </iconSet>
    </cfRule>
    <cfRule type="iconSet" priority="489">
      <iconSet iconSet="3Arrows">
        <cfvo type="percent" val="0"/>
        <cfvo type="percent" val="33"/>
        <cfvo type="percent" val="67"/>
      </iconSet>
    </cfRule>
    <cfRule type="iconSet" priority="492">
      <iconSet iconSet="3Arrows">
        <cfvo type="percent" val="0"/>
        <cfvo type="percent" val="33"/>
        <cfvo type="percent" val="67"/>
      </iconSet>
    </cfRule>
    <cfRule type="cellIs" priority="493" operator="greaterThan">
      <formula>$E$10</formula>
    </cfRule>
    <cfRule type="iconSet" priority="491">
      <iconSet iconSet="3Arrows" showValue="0">
        <cfvo type="percent" val="0"/>
        <cfvo type="percent" val="$E$10-$F$10"/>
        <cfvo type="percent" val="$E$10"/>
      </iconSet>
    </cfRule>
  </conditionalFormatting>
  <conditionalFormatting sqref="G285:G290">
    <cfRule type="iconSet" priority="1204">
      <iconSet iconSet="3Arrows">
        <cfvo type="percent" val="0"/>
        <cfvo type="percent" val="33"/>
        <cfvo type="percent" val="67"/>
      </iconSet>
    </cfRule>
    <cfRule type="iconSet" priority="1203">
      <iconSet iconSet="3Arrows">
        <cfvo type="percent" val="0"/>
        <cfvo type="percent" val="33"/>
        <cfvo type="percent" val="67"/>
      </iconSet>
    </cfRule>
    <cfRule type="iconSet" priority="1537">
      <iconSet iconSet="3Arrows" showValue="0">
        <cfvo type="percent" val="0"/>
        <cfvo type="percent" val="$E$10-$F$10"/>
        <cfvo type="percent" val="$E$10"/>
      </iconSet>
    </cfRule>
    <cfRule type="iconSet" priority="1538">
      <iconSet iconSet="3Arrows">
        <cfvo type="percent" val="0"/>
        <cfvo type="percent" val="33"/>
        <cfvo type="percent" val="67"/>
      </iconSet>
    </cfRule>
  </conditionalFormatting>
  <conditionalFormatting sqref="G293:G296">
    <cfRule type="iconSet" priority="141">
      <iconSet iconSet="3Arrows" showValue="0">
        <cfvo type="percent" val="0"/>
        <cfvo type="percent" val="$E$10-$F$10"/>
        <cfvo type="percent" val="$E$10"/>
      </iconSet>
    </cfRule>
    <cfRule type="iconSet" priority="138">
      <iconSet iconSet="3Arrows">
        <cfvo type="percent" val="0"/>
        <cfvo type="percent" val="33"/>
        <cfvo type="percent" val="67"/>
      </iconSet>
    </cfRule>
    <cfRule type="iconSet" priority="139">
      <iconSet iconSet="3Arrows">
        <cfvo type="percent" val="0"/>
        <cfvo type="percent" val="33"/>
        <cfvo type="percent" val="67"/>
      </iconSet>
    </cfRule>
    <cfRule type="iconSet" priority="142">
      <iconSet iconSet="3Arrows">
        <cfvo type="percent" val="0"/>
        <cfvo type="percent" val="33"/>
        <cfvo type="percent" val="67"/>
      </iconSet>
    </cfRule>
    <cfRule type="cellIs" priority="143" operator="greaterThan">
      <formula>$E$10</formula>
    </cfRule>
  </conditionalFormatting>
  <conditionalFormatting sqref="G304:G310">
    <cfRule type="iconSet" priority="482">
      <iconSet iconSet="3Arrows" showValue="0">
        <cfvo type="percent" val="0"/>
        <cfvo type="percent" val="$E$10-$F$10"/>
        <cfvo type="percent" val="$E$10"/>
      </iconSet>
    </cfRule>
    <cfRule type="iconSet" priority="483">
      <iconSet iconSet="3Arrows">
        <cfvo type="percent" val="0"/>
        <cfvo type="percent" val="33"/>
        <cfvo type="percent" val="67"/>
      </iconSet>
    </cfRule>
    <cfRule type="cellIs" priority="484" operator="greaterThan">
      <formula>$E$10</formula>
    </cfRule>
    <cfRule type="iconSet" priority="480">
      <iconSet iconSet="3Arrows">
        <cfvo type="percent" val="0"/>
        <cfvo type="percent" val="33"/>
        <cfvo type="percent" val="67"/>
      </iconSet>
    </cfRule>
    <cfRule type="iconSet" priority="479">
      <iconSet iconSet="3Arrows">
        <cfvo type="percent" val="0"/>
        <cfvo type="percent" val="33"/>
        <cfvo type="percent" val="67"/>
      </iconSet>
    </cfRule>
  </conditionalFormatting>
  <conditionalFormatting sqref="G305:G310">
    <cfRule type="iconSet" priority="1192">
      <iconSet iconSet="3Arrows">
        <cfvo type="percent" val="0"/>
        <cfvo type="percent" val="33"/>
        <cfvo type="percent" val="67"/>
      </iconSet>
    </cfRule>
    <cfRule type="iconSet" priority="1193">
      <iconSet iconSet="3Arrows">
        <cfvo type="percent" val="0"/>
        <cfvo type="percent" val="33"/>
        <cfvo type="percent" val="67"/>
      </iconSet>
    </cfRule>
    <cfRule type="iconSet" priority="1540">
      <iconSet iconSet="3Arrows" showValue="0">
        <cfvo type="percent" val="0"/>
        <cfvo type="percent" val="$E$10-$F$10"/>
        <cfvo type="percent" val="$E$10"/>
      </iconSet>
    </cfRule>
    <cfRule type="iconSet" priority="1541">
      <iconSet iconSet="3Arrows">
        <cfvo type="percent" val="0"/>
        <cfvo type="percent" val="33"/>
        <cfvo type="percent" val="67"/>
      </iconSet>
    </cfRule>
  </conditionalFormatting>
  <conditionalFormatting sqref="G312:G331">
    <cfRule type="cellIs" dxfId="160" priority="112" operator="lessThan">
      <formula>0</formula>
    </cfRule>
    <cfRule type="cellIs" dxfId="159" priority="111" operator="greaterThan">
      <formula>10</formula>
    </cfRule>
    <cfRule type="cellIs" dxfId="158" priority="110" operator="lessThan">
      <formula>-10</formula>
    </cfRule>
    <cfRule type="cellIs" dxfId="157" priority="109" operator="equal">
      <formula>"%"</formula>
    </cfRule>
  </conditionalFormatting>
  <conditionalFormatting sqref="G313:G316">
    <cfRule type="iconSet" priority="117">
      <iconSet iconSet="3Arrows">
        <cfvo type="percent" val="0"/>
        <cfvo type="percent" val="33"/>
        <cfvo type="percent" val="67"/>
      </iconSet>
    </cfRule>
    <cfRule type="iconSet" priority="119">
      <iconSet iconSet="3Arrows" showValue="0">
        <cfvo type="percent" val="0"/>
        <cfvo type="percent" val="$E$10-$F$10"/>
        <cfvo type="percent" val="$E$10"/>
      </iconSet>
    </cfRule>
    <cfRule type="iconSet" priority="120">
      <iconSet iconSet="3Arrows">
        <cfvo type="percent" val="0"/>
        <cfvo type="percent" val="33"/>
        <cfvo type="percent" val="67"/>
      </iconSet>
    </cfRule>
    <cfRule type="cellIs" priority="121" operator="greaterThan">
      <formula>$E$10</formula>
    </cfRule>
    <cfRule type="iconSet" priority="116">
      <iconSet iconSet="3Arrows">
        <cfvo type="percent" val="0"/>
        <cfvo type="percent" val="33"/>
        <cfvo type="percent" val="67"/>
      </iconSet>
    </cfRule>
  </conditionalFormatting>
  <conditionalFormatting sqref="G325:G331">
    <cfRule type="cellIs" priority="475" operator="greaterThan">
      <formula>$E$10</formula>
    </cfRule>
    <cfRule type="iconSet" priority="474">
      <iconSet iconSet="3Arrows">
        <cfvo type="percent" val="0"/>
        <cfvo type="percent" val="33"/>
        <cfvo type="percent" val="67"/>
      </iconSet>
    </cfRule>
    <cfRule type="iconSet" priority="473">
      <iconSet iconSet="3Arrows" showValue="0">
        <cfvo type="percent" val="0"/>
        <cfvo type="percent" val="$E$10-$F$10"/>
        <cfvo type="percent" val="$E$10"/>
      </iconSet>
    </cfRule>
    <cfRule type="iconSet" priority="471">
      <iconSet iconSet="3Arrows">
        <cfvo type="percent" val="0"/>
        <cfvo type="percent" val="33"/>
        <cfvo type="percent" val="67"/>
      </iconSet>
    </cfRule>
    <cfRule type="iconSet" priority="470">
      <iconSet iconSet="3Arrows">
        <cfvo type="percent" val="0"/>
        <cfvo type="percent" val="33"/>
        <cfvo type="percent" val="67"/>
      </iconSet>
    </cfRule>
  </conditionalFormatting>
  <conditionalFormatting sqref="G326:G331">
    <cfRule type="iconSet" priority="1180">
      <iconSet iconSet="3Arrows">
        <cfvo type="percent" val="0"/>
        <cfvo type="percent" val="33"/>
        <cfvo type="percent" val="67"/>
      </iconSet>
    </cfRule>
    <cfRule type="iconSet" priority="1181">
      <iconSet iconSet="3Arrows">
        <cfvo type="percent" val="0"/>
        <cfvo type="percent" val="33"/>
        <cfvo type="percent" val="67"/>
      </iconSet>
    </cfRule>
    <cfRule type="iconSet" priority="1544">
      <iconSet iconSet="3Arrows">
        <cfvo type="percent" val="0"/>
        <cfvo type="percent" val="33"/>
        <cfvo type="percent" val="67"/>
      </iconSet>
    </cfRule>
    <cfRule type="iconSet" priority="1543">
      <iconSet iconSet="3Arrows" showValue="0">
        <cfvo type="percent" val="0"/>
        <cfvo type="percent" val="$E$10-$F$10"/>
        <cfvo type="percent" val="$E$10"/>
      </iconSet>
    </cfRule>
  </conditionalFormatting>
  <conditionalFormatting sqref="G333:G351">
    <cfRule type="cellIs" dxfId="156" priority="88" operator="lessThan">
      <formula>-10</formula>
    </cfRule>
    <cfRule type="cellIs" dxfId="155" priority="89" operator="greaterThan">
      <formula>10</formula>
    </cfRule>
    <cfRule type="cellIs" dxfId="154" priority="90" operator="lessThan">
      <formula>0</formula>
    </cfRule>
    <cfRule type="cellIs" dxfId="153" priority="87" operator="equal">
      <formula>"%"</formula>
    </cfRule>
  </conditionalFormatting>
  <conditionalFormatting sqref="G334:G337">
    <cfRule type="iconSet" priority="94">
      <iconSet iconSet="3Arrows">
        <cfvo type="percent" val="0"/>
        <cfvo type="percent" val="33"/>
        <cfvo type="percent" val="67"/>
      </iconSet>
    </cfRule>
    <cfRule type="iconSet" priority="97">
      <iconSet iconSet="3Arrows" showValue="0">
        <cfvo type="percent" val="0"/>
        <cfvo type="percent" val="$E$10-$F$10"/>
        <cfvo type="percent" val="$E$10"/>
      </iconSet>
    </cfRule>
    <cfRule type="iconSet" priority="95">
      <iconSet iconSet="3Arrows">
        <cfvo type="percent" val="0"/>
        <cfvo type="percent" val="33"/>
        <cfvo type="percent" val="67"/>
      </iconSet>
    </cfRule>
    <cfRule type="iconSet" priority="98">
      <iconSet iconSet="3Arrows">
        <cfvo type="percent" val="0"/>
        <cfvo type="percent" val="33"/>
        <cfvo type="percent" val="67"/>
      </iconSet>
    </cfRule>
    <cfRule type="cellIs" priority="99" operator="greaterThan">
      <formula>$E$10</formula>
    </cfRule>
  </conditionalFormatting>
  <conditionalFormatting sqref="G345:G351">
    <cfRule type="iconSet" priority="461">
      <iconSet iconSet="3Arrows">
        <cfvo type="percent" val="0"/>
        <cfvo type="percent" val="33"/>
        <cfvo type="percent" val="67"/>
      </iconSet>
    </cfRule>
    <cfRule type="iconSet" priority="464">
      <iconSet iconSet="3Arrows" showValue="0">
        <cfvo type="percent" val="0"/>
        <cfvo type="percent" val="$E$10-$F$10"/>
        <cfvo type="percent" val="$E$10"/>
      </iconSet>
    </cfRule>
    <cfRule type="iconSet" priority="465">
      <iconSet iconSet="3Arrows">
        <cfvo type="percent" val="0"/>
        <cfvo type="percent" val="33"/>
        <cfvo type="percent" val="67"/>
      </iconSet>
    </cfRule>
    <cfRule type="cellIs" priority="466" operator="greaterThan">
      <formula>$E$10</formula>
    </cfRule>
    <cfRule type="iconSet" priority="462">
      <iconSet iconSet="3Arrows">
        <cfvo type="percent" val="0"/>
        <cfvo type="percent" val="33"/>
        <cfvo type="percent" val="67"/>
      </iconSet>
    </cfRule>
  </conditionalFormatting>
  <conditionalFormatting sqref="G346:G351">
    <cfRule type="iconSet" priority="1166">
      <iconSet iconSet="3Arrows">
        <cfvo type="percent" val="0"/>
        <cfvo type="percent" val="33"/>
        <cfvo type="percent" val="67"/>
      </iconSet>
    </cfRule>
    <cfRule type="iconSet" priority="1556">
      <iconSet iconSet="3Arrows">
        <cfvo type="percent" val="0"/>
        <cfvo type="percent" val="33"/>
        <cfvo type="percent" val="67"/>
      </iconSet>
    </cfRule>
    <cfRule type="iconSet" priority="1167">
      <iconSet iconSet="3Arrows">
        <cfvo type="percent" val="0"/>
        <cfvo type="percent" val="33"/>
        <cfvo type="percent" val="67"/>
      </iconSet>
    </cfRule>
    <cfRule type="iconSet" priority="1555">
      <iconSet iconSet="3Arrows" showValue="0">
        <cfvo type="percent" val="0"/>
        <cfvo type="percent" val="$E$10-$F$10"/>
        <cfvo type="percent" val="$E$10"/>
      </iconSet>
    </cfRule>
  </conditionalFormatting>
  <conditionalFormatting sqref="G353:G371">
    <cfRule type="cellIs" dxfId="152" priority="68" operator="lessThan">
      <formula>0</formula>
    </cfRule>
    <cfRule type="cellIs" dxfId="151" priority="67" operator="greaterThan">
      <formula>10</formula>
    </cfRule>
    <cfRule type="cellIs" dxfId="150" priority="66" operator="lessThan">
      <formula>-10</formula>
    </cfRule>
    <cfRule type="cellIs" dxfId="149" priority="65" operator="equal">
      <formula>"%"</formula>
    </cfRule>
  </conditionalFormatting>
  <conditionalFormatting sqref="G354:G357">
    <cfRule type="iconSet" priority="72">
      <iconSet iconSet="3Arrows">
        <cfvo type="percent" val="0"/>
        <cfvo type="percent" val="33"/>
        <cfvo type="percent" val="67"/>
      </iconSet>
    </cfRule>
    <cfRule type="cellIs" priority="77" operator="greaterThan">
      <formula>$E$10</formula>
    </cfRule>
    <cfRule type="iconSet" priority="76">
      <iconSet iconSet="3Arrows">
        <cfvo type="percent" val="0"/>
        <cfvo type="percent" val="33"/>
        <cfvo type="percent" val="67"/>
      </iconSet>
    </cfRule>
    <cfRule type="iconSet" priority="75">
      <iconSet iconSet="3Arrows" showValue="0">
        <cfvo type="percent" val="0"/>
        <cfvo type="percent" val="$E$10-$F$10"/>
        <cfvo type="percent" val="$E$10"/>
      </iconSet>
    </cfRule>
    <cfRule type="iconSet" priority="73">
      <iconSet iconSet="3Arrows">
        <cfvo type="percent" val="0"/>
        <cfvo type="percent" val="33"/>
        <cfvo type="percent" val="67"/>
      </iconSet>
    </cfRule>
  </conditionalFormatting>
  <conditionalFormatting sqref="G365:G371">
    <cfRule type="iconSet" priority="456">
      <iconSet iconSet="3Arrows">
        <cfvo type="percent" val="0"/>
        <cfvo type="percent" val="33"/>
        <cfvo type="percent" val="67"/>
      </iconSet>
    </cfRule>
    <cfRule type="cellIs" priority="457" operator="greaterThan">
      <formula>$E$10</formula>
    </cfRule>
    <cfRule type="iconSet" priority="452">
      <iconSet iconSet="3Arrows">
        <cfvo type="percent" val="0"/>
        <cfvo type="percent" val="33"/>
        <cfvo type="percent" val="67"/>
      </iconSet>
    </cfRule>
    <cfRule type="iconSet" priority="453">
      <iconSet iconSet="3Arrows">
        <cfvo type="percent" val="0"/>
        <cfvo type="percent" val="33"/>
        <cfvo type="percent" val="67"/>
      </iconSet>
    </cfRule>
    <cfRule type="iconSet" priority="455">
      <iconSet iconSet="3Arrows" showValue="0">
        <cfvo type="percent" val="0"/>
        <cfvo type="percent" val="$E$10-$F$10"/>
        <cfvo type="percent" val="$E$10"/>
      </iconSet>
    </cfRule>
  </conditionalFormatting>
  <conditionalFormatting sqref="G366:G371">
    <cfRule type="iconSet" priority="1558">
      <iconSet iconSet="3Arrows" showValue="0">
        <cfvo type="percent" val="0"/>
        <cfvo type="percent" val="$E$10-$F$10"/>
        <cfvo type="percent" val="$E$10"/>
      </iconSet>
    </cfRule>
    <cfRule type="iconSet" priority="1559">
      <iconSet iconSet="3Arrows">
        <cfvo type="percent" val="0"/>
        <cfvo type="percent" val="33"/>
        <cfvo type="percent" val="67"/>
      </iconSet>
    </cfRule>
    <cfRule type="iconSet" priority="1153">
      <iconSet iconSet="3Arrows">
        <cfvo type="percent" val="0"/>
        <cfvo type="percent" val="33"/>
        <cfvo type="percent" val="67"/>
      </iconSet>
    </cfRule>
    <cfRule type="iconSet" priority="1152">
      <iconSet iconSet="3Arrows">
        <cfvo type="percent" val="0"/>
        <cfvo type="percent" val="33"/>
        <cfvo type="percent" val="67"/>
      </iconSet>
    </cfRule>
  </conditionalFormatting>
  <conditionalFormatting sqref="G373:G391">
    <cfRule type="cellIs" dxfId="148" priority="43" operator="equal">
      <formula>"%"</formula>
    </cfRule>
    <cfRule type="cellIs" dxfId="147" priority="44" operator="lessThan">
      <formula>-10</formula>
    </cfRule>
    <cfRule type="cellIs" dxfId="146" priority="45" operator="greaterThan">
      <formula>10</formula>
    </cfRule>
    <cfRule type="cellIs" dxfId="145" priority="46" operator="lessThan">
      <formula>0</formula>
    </cfRule>
  </conditionalFormatting>
  <conditionalFormatting sqref="G374:G377">
    <cfRule type="cellIs" priority="55" operator="greaterThan">
      <formula>$E$10</formula>
    </cfRule>
    <cfRule type="iconSet" priority="54">
      <iconSet iconSet="3Arrows">
        <cfvo type="percent" val="0"/>
        <cfvo type="percent" val="33"/>
        <cfvo type="percent" val="67"/>
      </iconSet>
    </cfRule>
    <cfRule type="iconSet" priority="51">
      <iconSet iconSet="3Arrows">
        <cfvo type="percent" val="0"/>
        <cfvo type="percent" val="33"/>
        <cfvo type="percent" val="67"/>
      </iconSet>
    </cfRule>
    <cfRule type="iconSet" priority="53">
      <iconSet iconSet="3Arrows" showValue="0">
        <cfvo type="percent" val="0"/>
        <cfvo type="percent" val="$E$10-$F$10"/>
        <cfvo type="percent" val="$E$10"/>
      </iconSet>
    </cfRule>
    <cfRule type="iconSet" priority="50">
      <iconSet iconSet="3Arrows">
        <cfvo type="percent" val="0"/>
        <cfvo type="percent" val="33"/>
        <cfvo type="percent" val="67"/>
      </iconSet>
    </cfRule>
  </conditionalFormatting>
  <conditionalFormatting sqref="G385:G391">
    <cfRule type="cellIs" priority="448" operator="greaterThan">
      <formula>$E$10</formula>
    </cfRule>
    <cfRule type="iconSet" priority="447">
      <iconSet iconSet="3Arrows">
        <cfvo type="percent" val="0"/>
        <cfvo type="percent" val="33"/>
        <cfvo type="percent" val="67"/>
      </iconSet>
    </cfRule>
    <cfRule type="iconSet" priority="446">
      <iconSet iconSet="3Arrows" showValue="0">
        <cfvo type="percent" val="0"/>
        <cfvo type="percent" val="$E$10-$F$10"/>
        <cfvo type="percent" val="$E$10"/>
      </iconSet>
    </cfRule>
    <cfRule type="iconSet" priority="443">
      <iconSet iconSet="3Arrows">
        <cfvo type="percent" val="0"/>
        <cfvo type="percent" val="33"/>
        <cfvo type="percent" val="67"/>
      </iconSet>
    </cfRule>
    <cfRule type="iconSet" priority="444">
      <iconSet iconSet="3Arrows">
        <cfvo type="percent" val="0"/>
        <cfvo type="percent" val="33"/>
        <cfvo type="percent" val="67"/>
      </iconSet>
    </cfRule>
  </conditionalFormatting>
  <conditionalFormatting sqref="G386:G391">
    <cfRule type="iconSet" priority="1138">
      <iconSet iconSet="3Arrows">
        <cfvo type="percent" val="0"/>
        <cfvo type="percent" val="33"/>
        <cfvo type="percent" val="67"/>
      </iconSet>
    </cfRule>
    <cfRule type="iconSet" priority="1139">
      <iconSet iconSet="3Arrows">
        <cfvo type="percent" val="0"/>
        <cfvo type="percent" val="33"/>
        <cfvo type="percent" val="67"/>
      </iconSet>
    </cfRule>
    <cfRule type="iconSet" priority="1561">
      <iconSet iconSet="3Arrows" showValue="0">
        <cfvo type="percent" val="0"/>
        <cfvo type="percent" val="$E$10-$F$10"/>
        <cfvo type="percent" val="$E$10"/>
      </iconSet>
    </cfRule>
    <cfRule type="iconSet" priority="1562">
      <iconSet iconSet="3Arrows">
        <cfvo type="percent" val="0"/>
        <cfvo type="percent" val="33"/>
        <cfvo type="percent" val="67"/>
      </iconSet>
    </cfRule>
  </conditionalFormatting>
  <conditionalFormatting sqref="G393:G1048576">
    <cfRule type="cellIs" dxfId="144" priority="24" operator="lessThan">
      <formula>0</formula>
    </cfRule>
    <cfRule type="cellIs" dxfId="143" priority="22" operator="lessThan">
      <formula>-10</formula>
    </cfRule>
    <cfRule type="cellIs" dxfId="142" priority="21" operator="equal">
      <formula>"%"</formula>
    </cfRule>
    <cfRule type="cellIs" dxfId="141" priority="23" operator="greaterThan">
      <formula>10</formula>
    </cfRule>
  </conditionalFormatting>
  <conditionalFormatting sqref="G394:G397">
    <cfRule type="cellIs" priority="33" operator="greaterThan">
      <formula>$E$10</formula>
    </cfRule>
    <cfRule type="iconSet" priority="32">
      <iconSet iconSet="3Arrows">
        <cfvo type="percent" val="0"/>
        <cfvo type="percent" val="33"/>
        <cfvo type="percent" val="67"/>
      </iconSet>
    </cfRule>
    <cfRule type="iconSet" priority="31">
      <iconSet iconSet="3Arrows" showValue="0">
        <cfvo type="percent" val="0"/>
        <cfvo type="percent" val="$E$10-$F$10"/>
        <cfvo type="percent" val="$E$10"/>
      </iconSet>
    </cfRule>
    <cfRule type="iconSet" priority="29">
      <iconSet iconSet="3Arrows">
        <cfvo type="percent" val="0"/>
        <cfvo type="percent" val="33"/>
        <cfvo type="percent" val="67"/>
      </iconSet>
    </cfRule>
    <cfRule type="iconSet" priority="28">
      <iconSet iconSet="3Arrows">
        <cfvo type="percent" val="0"/>
        <cfvo type="percent" val="33"/>
        <cfvo type="percent" val="67"/>
      </iconSet>
    </cfRule>
  </conditionalFormatting>
  <conditionalFormatting sqref="U21">
    <cfRule type="containsText" dxfId="140" priority="438" operator="containsText" text="ERRO">
      <formula>NOT(ISERROR(SEARCH("ERRO",U21)))</formula>
    </cfRule>
  </conditionalFormatting>
  <conditionalFormatting sqref="U39">
    <cfRule type="containsText" dxfId="139" priority="19" operator="containsText" text="ERRO">
      <formula>NOT(ISERROR(SEARCH("ERRO",U39)))</formula>
    </cfRule>
  </conditionalFormatting>
  <conditionalFormatting sqref="U57">
    <cfRule type="containsText" dxfId="138" priority="18" operator="containsText" text="ERRO">
      <formula>NOT(ISERROR(SEARCH("ERRO",U57)))</formula>
    </cfRule>
  </conditionalFormatting>
  <conditionalFormatting sqref="U75">
    <cfRule type="containsText" dxfId="137" priority="17" operator="containsText" text="ERRO">
      <formula>NOT(ISERROR(SEARCH("ERRO",U75)))</formula>
    </cfRule>
  </conditionalFormatting>
  <conditionalFormatting sqref="U96">
    <cfRule type="containsText" dxfId="136" priority="16" operator="containsText" text="ERRO">
      <formula>NOT(ISERROR(SEARCH("ERRO",U96)))</formula>
    </cfRule>
  </conditionalFormatting>
  <conditionalFormatting sqref="U116">
    <cfRule type="containsText" dxfId="135" priority="15" operator="containsText" text="ERRO">
      <formula>NOT(ISERROR(SEARCH("ERRO",U116)))</formula>
    </cfRule>
  </conditionalFormatting>
  <conditionalFormatting sqref="U136">
    <cfRule type="containsText" dxfId="134" priority="14" operator="containsText" text="ERRO">
      <formula>NOT(ISERROR(SEARCH("ERRO",U136)))</formula>
    </cfRule>
  </conditionalFormatting>
  <conditionalFormatting sqref="U157">
    <cfRule type="containsText" dxfId="133" priority="13" operator="containsText" text="ERRO">
      <formula>NOT(ISERROR(SEARCH("ERRO",U157)))</formula>
    </cfRule>
  </conditionalFormatting>
  <conditionalFormatting sqref="U177">
    <cfRule type="containsText" dxfId="132" priority="12" operator="containsText" text="ERRO">
      <formula>NOT(ISERROR(SEARCH("ERRO",U177)))</formula>
    </cfRule>
  </conditionalFormatting>
  <conditionalFormatting sqref="U197">
    <cfRule type="containsText" dxfId="131" priority="11" operator="containsText" text="ERRO">
      <formula>NOT(ISERROR(SEARCH("ERRO",U197)))</formula>
    </cfRule>
  </conditionalFormatting>
  <conditionalFormatting sqref="U218">
    <cfRule type="containsText" dxfId="130" priority="10" operator="containsText" text="ERRO">
      <formula>NOT(ISERROR(SEARCH("ERRO",U218)))</formula>
    </cfRule>
  </conditionalFormatting>
  <conditionalFormatting sqref="U239">
    <cfRule type="containsText" dxfId="129" priority="9" operator="containsText" text="ERRO">
      <formula>NOT(ISERROR(SEARCH("ERRO",U239)))</formula>
    </cfRule>
  </conditionalFormatting>
  <conditionalFormatting sqref="U258">
    <cfRule type="containsText" dxfId="128" priority="8" operator="containsText" text="ERRO">
      <formula>NOT(ISERROR(SEARCH("ERRO",U258)))</formula>
    </cfRule>
  </conditionalFormatting>
  <conditionalFormatting sqref="U277">
    <cfRule type="containsText" dxfId="127" priority="7" operator="containsText" text="ERRO">
      <formula>NOT(ISERROR(SEARCH("ERRO",U277)))</formula>
    </cfRule>
  </conditionalFormatting>
  <conditionalFormatting sqref="U296">
    <cfRule type="containsText" dxfId="126" priority="6" operator="containsText" text="ERRO">
      <formula>NOT(ISERROR(SEARCH("ERRO",U296)))</formula>
    </cfRule>
  </conditionalFormatting>
  <conditionalFormatting sqref="U316">
    <cfRule type="containsText" dxfId="125" priority="5" operator="containsText" text="ERRO">
      <formula>NOT(ISERROR(SEARCH("ERRO",U316)))</formula>
    </cfRule>
  </conditionalFormatting>
  <conditionalFormatting sqref="U338">
    <cfRule type="containsText" dxfId="124" priority="4" operator="containsText" text="ERRO">
      <formula>NOT(ISERROR(SEARCH("ERRO",U338)))</formula>
    </cfRule>
  </conditionalFormatting>
  <conditionalFormatting sqref="U357">
    <cfRule type="containsText" dxfId="123" priority="3" operator="containsText" text="ERRO">
      <formula>NOT(ISERROR(SEARCH("ERRO",U357)))</formula>
    </cfRule>
  </conditionalFormatting>
  <conditionalFormatting sqref="U377">
    <cfRule type="containsText" dxfId="122" priority="2" operator="containsText" text="ERRO">
      <formula>NOT(ISERROR(SEARCH("ERRO",U377)))</formula>
    </cfRule>
  </conditionalFormatting>
  <conditionalFormatting sqref="U397">
    <cfRule type="containsText" dxfId="121" priority="1" operator="containsText" text="ERRO">
      <formula>NOT(ISERROR(SEARCH("ERRO",U397)))</formula>
    </cfRule>
  </conditionalFormatting>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iconSet" priority="1783" id="{48CF973E-F0A4-4915-9866-BFA7CBB33F32}">
            <x14:iconSet iconSet="3Triangles">
              <x14:cfvo type="percent">
                <xm:f>0</xm:f>
              </x14:cfvo>
              <x14:cfvo type="percent" gte="0">
                <xm:f>0</xm:f>
              </x14:cfvo>
              <x14:cfvo type="num">
                <xm:f>$A$36</xm:f>
              </x14:cfvo>
            </x14:iconSet>
          </x14:cfRule>
          <xm:sqref>A55</xm:sqref>
        </x14:conditionalFormatting>
        <x14:conditionalFormatting xmlns:xm="http://schemas.microsoft.com/office/excel/2006/main">
          <x14:cfRule type="iconSet" priority="1359" id="{A1334F47-ACB7-44C8-B667-E5CDBD422DF4}">
            <x14:iconSet custom="1">
              <x14:cfvo type="percent">
                <xm:f>0</xm:f>
              </x14:cfvo>
              <x14:cfvo type="num">
                <xm:f>0</xm:f>
              </x14:cfvo>
              <x14:cfvo type="num" gte="0">
                <xm:f>5</xm:f>
              </x14:cfvo>
              <x14:cfIcon iconSet="3Arrows" iconId="0"/>
              <x14:cfIcon iconSet="3Triangles" iconId="1"/>
              <x14:cfIcon iconSet="3Arrows" iconId="2"/>
            </x14:iconSet>
          </x14:cfRule>
          <x14:cfRule type="iconSet" priority="1344" id="{0A261540-8598-4352-8764-DC4771024D12}">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362" id="{8ED2FE9C-4B9D-4643-97DF-9803027A9796}">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343" id="{842D9888-9FA8-4C34-A724-E60C3051C7C6}">
            <x14:iconSet custom="1">
              <x14:cfvo type="percent">
                <xm:f>0</xm:f>
              </x14:cfvo>
              <x14:cfvo type="num">
                <xm:f>0</xm:f>
              </x14:cfvo>
              <x14:cfvo type="num">
                <xm:f>1</xm:f>
              </x14:cfvo>
              <x14:cfIcon iconSet="3Arrows" iconId="0"/>
              <x14:cfIcon iconSet="NoIcons" iconId="0"/>
              <x14:cfIcon iconSet="3Arrows" iconId="2"/>
            </x14:iconSet>
          </x14:cfRule>
          <xm:sqref>G9:G15</xm:sqref>
        </x14:conditionalFormatting>
        <x14:conditionalFormatting xmlns:xm="http://schemas.microsoft.com/office/excel/2006/main">
          <x14:cfRule type="iconSet" priority="1113" id="{376FE31C-2815-4D4C-A281-F18AD6F4189D}">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108" id="{E5D37C42-81FB-9B40-95B8-1398F061B81F}">
            <x14:iconSet custom="1">
              <x14:cfvo type="percent">
                <xm:f>0</xm:f>
              </x14:cfvo>
              <x14:cfvo type="num">
                <xm:f>0</xm:f>
              </x14:cfvo>
              <x14:cfvo type="num">
                <xm:f>1</xm:f>
              </x14:cfvo>
              <x14:cfIcon iconSet="3Arrows" iconId="0"/>
              <x14:cfIcon iconSet="NoIcons" iconId="0"/>
              <x14:cfIcon iconSet="3Arrows" iconId="2"/>
            </x14:iconSet>
          </x14:cfRule>
          <x14:cfRule type="iconSet" priority="1109" id="{6DB4C6F6-DE87-F04A-9C16-12C8E43BDA37}">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110" id="{43869C07-5CF7-A944-A9E3-D76E2233F3B8}">
            <x14:iconSet custom="1">
              <x14:cfvo type="percent">
                <xm:f>0</xm:f>
              </x14:cfvo>
              <x14:cfvo type="num">
                <xm:f>0</xm:f>
              </x14:cfvo>
              <x14:cfvo type="num" gte="0">
                <xm:f>5</xm:f>
              </x14:cfvo>
              <x14:cfIcon iconSet="3Arrows" iconId="0"/>
              <x14:cfIcon iconSet="3Triangles" iconId="1"/>
              <x14:cfIcon iconSet="3Arrows" iconId="2"/>
            </x14:iconSet>
          </x14:cfRule>
          <xm:sqref>G18:G21</xm:sqref>
        </x14:conditionalFormatting>
        <x14:conditionalFormatting xmlns:xm="http://schemas.microsoft.com/office/excel/2006/main">
          <x14:cfRule type="iconSet" priority="602" id="{FC26CF25-6AE1-E146-9EF2-F983AA4047C3}">
            <x14:iconSet custom="1">
              <x14:cfvo type="percent">
                <xm:f>0</xm:f>
              </x14:cfvo>
              <x14:cfvo type="num">
                <xm:f>0</xm:f>
              </x14:cfvo>
              <x14:cfvo type="num">
                <xm:f>1</xm:f>
              </x14:cfvo>
              <x14:cfIcon iconSet="3Arrows" iconId="0"/>
              <x14:cfIcon iconSet="NoIcons" iconId="0"/>
              <x14:cfIcon iconSet="3Arrows" iconId="2"/>
            </x14:iconSet>
          </x14:cfRule>
          <x14:cfRule type="iconSet" priority="603" id="{58422F3D-4D43-7641-BCBC-3643BFB3E2E5}">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604" id="{9581FB90-9626-4143-AE93-8C02EAFD90F7}">
            <x14:iconSet custom="1">
              <x14:cfvo type="percent">
                <xm:f>0</xm:f>
              </x14:cfvo>
              <x14:cfvo type="num">
                <xm:f>0</xm:f>
              </x14:cfvo>
              <x14:cfvo type="num" gte="0">
                <xm:f>5</xm:f>
              </x14:cfvo>
              <x14:cfIcon iconSet="3Arrows" iconId="0"/>
              <x14:cfIcon iconSet="3Triangles" iconId="1"/>
              <x14:cfIcon iconSet="3Arrows" iconId="2"/>
            </x14:iconSet>
          </x14:cfRule>
          <x14:cfRule type="iconSet" priority="607" id="{2F50D46E-93EE-D64C-815F-240C02DDABDF}">
            <x14:iconSet iconSet="3Arrows" custom="1">
              <x14:cfvo type="percent">
                <xm:f>0</xm:f>
              </x14:cfvo>
              <x14:cfvo type="percent">
                <xm:f>0</xm:f>
              </x14:cfvo>
              <x14:cfvo type="percent">
                <xm:f>0</xm:f>
              </x14:cfvo>
              <x14:cfIcon iconSet="3Arrows" iconId="0"/>
              <x14:cfIcon iconSet="NoIcons" iconId="0"/>
              <x14:cfIcon iconSet="3Arrows" iconId="2"/>
            </x14:iconSet>
          </x14:cfRule>
          <xm:sqref>G27:G33</xm:sqref>
        </x14:conditionalFormatting>
        <x14:conditionalFormatting xmlns:xm="http://schemas.microsoft.com/office/excel/2006/main">
          <x14:cfRule type="iconSet" priority="1339" id="{8AE9A3CE-7085-45D1-8F8A-35B3E2AF6A29}">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336" id="{752E4D9A-83FC-4901-B2F4-43931569C3DA}">
            <x14:iconSet custom="1">
              <x14:cfvo type="percent">
                <xm:f>0</xm:f>
              </x14:cfvo>
              <x14:cfvo type="num">
                <xm:f>0</xm:f>
              </x14:cfvo>
              <x14:cfvo type="num" gte="0">
                <xm:f>5</xm:f>
              </x14:cfvo>
              <x14:cfIcon iconSet="3Arrows" iconId="0"/>
              <x14:cfIcon iconSet="3Triangles" iconId="1"/>
              <x14:cfIcon iconSet="3Arrows" iconId="2"/>
            </x14:iconSet>
          </x14:cfRule>
          <x14:cfRule type="iconSet" priority="1335" id="{83CFA434-2755-4EAD-8530-DE28EFEE9194}">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334" id="{4F00D6A7-D3AD-4ACA-A7A0-2566F5BB79B7}">
            <x14:iconSet custom="1">
              <x14:cfvo type="percent">
                <xm:f>0</xm:f>
              </x14:cfvo>
              <x14:cfvo type="num">
                <xm:f>0</xm:f>
              </x14:cfvo>
              <x14:cfvo type="num">
                <xm:f>1</xm:f>
              </x14:cfvo>
              <x14:cfIcon iconSet="3Arrows" iconId="0"/>
              <x14:cfIcon iconSet="NoIcons" iconId="0"/>
              <x14:cfIcon iconSet="3Arrows" iconId="2"/>
            </x14:iconSet>
          </x14:cfRule>
          <xm:sqref>G28:G33</xm:sqref>
        </x14:conditionalFormatting>
        <x14:conditionalFormatting xmlns:xm="http://schemas.microsoft.com/office/excel/2006/main">
          <x14:cfRule type="iconSet" priority="426" id="{40837287-8AAD-43A5-8661-EF040EE419C1}">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421" id="{99747740-98A1-4C68-841F-10D3E15D6F69}">
            <x14:iconSet custom="1">
              <x14:cfvo type="percent">
                <xm:f>0</xm:f>
              </x14:cfvo>
              <x14:cfvo type="num">
                <xm:f>0</xm:f>
              </x14:cfvo>
              <x14:cfvo type="num">
                <xm:f>1</xm:f>
              </x14:cfvo>
              <x14:cfIcon iconSet="3Arrows" iconId="0"/>
              <x14:cfIcon iconSet="NoIcons" iconId="0"/>
              <x14:cfIcon iconSet="3Arrows" iconId="2"/>
            </x14:iconSet>
          </x14:cfRule>
          <x14:cfRule type="iconSet" priority="422" id="{652F4ECD-AC37-4CBE-859D-DF46E83A1999}">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423" id="{E46C7B56-E4D1-41D4-956D-E53441EFEF05}">
            <x14:iconSet custom="1">
              <x14:cfvo type="percent">
                <xm:f>0</xm:f>
              </x14:cfvo>
              <x14:cfvo type="num">
                <xm:f>0</xm:f>
              </x14:cfvo>
              <x14:cfvo type="num" gte="0">
                <xm:f>5</xm:f>
              </x14:cfvo>
              <x14:cfIcon iconSet="3Arrows" iconId="0"/>
              <x14:cfIcon iconSet="3Triangles" iconId="1"/>
              <x14:cfIcon iconSet="3Arrows" iconId="2"/>
            </x14:iconSet>
          </x14:cfRule>
          <xm:sqref>G36:G39</xm:sqref>
        </x14:conditionalFormatting>
        <x14:conditionalFormatting xmlns:xm="http://schemas.microsoft.com/office/excel/2006/main">
          <x14:cfRule type="iconSet" priority="595" id="{1CFAEA47-69EB-764D-AB02-1204CCB1AD28}">
            <x14:iconSet custom="1">
              <x14:cfvo type="percent">
                <xm:f>0</xm:f>
              </x14:cfvo>
              <x14:cfvo type="num">
                <xm:f>0</xm:f>
              </x14:cfvo>
              <x14:cfvo type="num" gte="0">
                <xm:f>5</xm:f>
              </x14:cfvo>
              <x14:cfIcon iconSet="3Arrows" iconId="0"/>
              <x14:cfIcon iconSet="3Triangles" iconId="1"/>
              <x14:cfIcon iconSet="3Arrows" iconId="2"/>
            </x14:iconSet>
          </x14:cfRule>
          <x14:cfRule type="iconSet" priority="594" id="{7E4ADC47-991E-F84A-A3A6-3BBD2E648647}">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93" id="{C7694F9B-5614-B14D-8E90-72D3D589DE65}">
            <x14:iconSet custom="1">
              <x14:cfvo type="percent">
                <xm:f>0</xm:f>
              </x14:cfvo>
              <x14:cfvo type="num">
                <xm:f>0</xm:f>
              </x14:cfvo>
              <x14:cfvo type="num">
                <xm:f>1</xm:f>
              </x14:cfvo>
              <x14:cfIcon iconSet="3Arrows" iconId="0"/>
              <x14:cfIcon iconSet="NoIcons" iconId="0"/>
              <x14:cfIcon iconSet="3Arrows" iconId="2"/>
            </x14:iconSet>
          </x14:cfRule>
          <x14:cfRule type="iconSet" priority="598" id="{A2DAA17E-6AF1-CE44-A0E1-6C097F1762A8}">
            <x14:iconSet iconSet="3Arrows" custom="1">
              <x14:cfvo type="percent">
                <xm:f>0</xm:f>
              </x14:cfvo>
              <x14:cfvo type="percent">
                <xm:f>0</xm:f>
              </x14:cfvo>
              <x14:cfvo type="percent">
                <xm:f>0</xm:f>
              </x14:cfvo>
              <x14:cfIcon iconSet="3Arrows" iconId="0"/>
              <x14:cfIcon iconSet="NoIcons" iconId="0"/>
              <x14:cfIcon iconSet="3Arrows" iconId="2"/>
            </x14:iconSet>
          </x14:cfRule>
          <xm:sqref>G45:G51</xm:sqref>
        </x14:conditionalFormatting>
        <x14:conditionalFormatting xmlns:xm="http://schemas.microsoft.com/office/excel/2006/main">
          <x14:cfRule type="iconSet" priority="1262" id="{30734AF4-6A9B-4D53-8BFB-CFE24F094B5A}">
            <x14:iconSet custom="1">
              <x14:cfvo type="percent">
                <xm:f>0</xm:f>
              </x14:cfvo>
              <x14:cfvo type="num">
                <xm:f>0</xm:f>
              </x14:cfvo>
              <x14:cfvo type="num">
                <xm:f>1</xm:f>
              </x14:cfvo>
              <x14:cfIcon iconSet="3Arrows" iconId="0"/>
              <x14:cfIcon iconSet="NoIcons" iconId="0"/>
              <x14:cfIcon iconSet="3Arrows" iconId="2"/>
            </x14:iconSet>
          </x14:cfRule>
          <x14:cfRule type="iconSet" priority="1263" id="{96A00FE1-9463-4583-A069-B3AC3930CFA2}">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64" id="{CD91FCA0-B8C7-48C6-B9C5-73464A78339F}">
            <x14:iconSet custom="1">
              <x14:cfvo type="percent">
                <xm:f>0</xm:f>
              </x14:cfvo>
              <x14:cfvo type="num">
                <xm:f>0</xm:f>
              </x14:cfvo>
              <x14:cfvo type="num" gte="0">
                <xm:f>5</xm:f>
              </x14:cfvo>
              <x14:cfIcon iconSet="3Arrows" iconId="0"/>
              <x14:cfIcon iconSet="3Triangles" iconId="1"/>
              <x14:cfIcon iconSet="3Arrows" iconId="2"/>
            </x14:iconSet>
          </x14:cfRule>
          <x14:cfRule type="iconSet" priority="1267" id="{3DFDF370-63EA-45E6-8AB0-3CE36B51AD38}">
            <x14:iconSet iconSet="3Arrows" custom="1">
              <x14:cfvo type="percent">
                <xm:f>0</xm:f>
              </x14:cfvo>
              <x14:cfvo type="percent">
                <xm:f>0</xm:f>
              </x14:cfvo>
              <x14:cfvo type="percent">
                <xm:f>0</xm:f>
              </x14:cfvo>
              <x14:cfIcon iconSet="3Arrows" iconId="0"/>
              <x14:cfIcon iconSet="NoIcons" iconId="0"/>
              <x14:cfIcon iconSet="3Arrows" iconId="2"/>
            </x14:iconSet>
          </x14:cfRule>
          <xm:sqref>G46:G51</xm:sqref>
        </x14:conditionalFormatting>
        <x14:conditionalFormatting xmlns:xm="http://schemas.microsoft.com/office/excel/2006/main">
          <x14:cfRule type="iconSet" priority="399" id="{47BC15FF-3C20-48F6-A000-9AFE230FFF47}">
            <x14:iconSet custom="1">
              <x14:cfvo type="percent">
                <xm:f>0</xm:f>
              </x14:cfvo>
              <x14:cfvo type="num">
                <xm:f>0</xm:f>
              </x14:cfvo>
              <x14:cfvo type="num">
                <xm:f>1</xm:f>
              </x14:cfvo>
              <x14:cfIcon iconSet="3Arrows" iconId="0"/>
              <x14:cfIcon iconSet="NoIcons" iconId="0"/>
              <x14:cfIcon iconSet="3Arrows" iconId="2"/>
            </x14:iconSet>
          </x14:cfRule>
          <x14:cfRule type="iconSet" priority="404" id="{A9D693CD-8341-43FE-B4D1-D21DBE85EFA3}">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401" id="{19D0BBCD-1FF0-41DE-92FA-F6498FA0D91C}">
            <x14:iconSet custom="1">
              <x14:cfvo type="percent">
                <xm:f>0</xm:f>
              </x14:cfvo>
              <x14:cfvo type="num">
                <xm:f>0</xm:f>
              </x14:cfvo>
              <x14:cfvo type="num" gte="0">
                <xm:f>5</xm:f>
              </x14:cfvo>
              <x14:cfIcon iconSet="3Arrows" iconId="0"/>
              <x14:cfIcon iconSet="3Triangles" iconId="1"/>
              <x14:cfIcon iconSet="3Arrows" iconId="2"/>
            </x14:iconSet>
          </x14:cfRule>
          <x14:cfRule type="iconSet" priority="400" id="{E4A6173C-6319-4201-BE4F-90432BA11AA3}">
            <x14:iconSet showValue="0" custom="1">
              <x14:cfvo type="percent">
                <xm:f>0</xm:f>
              </x14:cfvo>
              <x14:cfvo type="num">
                <xm:f>0</xm:f>
              </x14:cfvo>
              <x14:cfvo type="num">
                <xm:f>1</xm:f>
              </x14:cfvo>
              <x14:cfIcon iconSet="3Arrows" iconId="0"/>
              <x14:cfIcon iconSet="NoIcons" iconId="0"/>
              <x14:cfIcon iconSet="3Arrows" iconId="2"/>
            </x14:iconSet>
          </x14:cfRule>
          <xm:sqref>G54:G57</xm:sqref>
        </x14:conditionalFormatting>
        <x14:conditionalFormatting xmlns:xm="http://schemas.microsoft.com/office/excel/2006/main">
          <x14:cfRule type="iconSet" priority="585" id="{9B4495ED-E6F7-C640-A50D-893A8B65F3B8}">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84" id="{EC71C0F5-83BE-CE45-81C4-8C048342FD2F}">
            <x14:iconSet custom="1">
              <x14:cfvo type="percent">
                <xm:f>0</xm:f>
              </x14:cfvo>
              <x14:cfvo type="num">
                <xm:f>0</xm:f>
              </x14:cfvo>
              <x14:cfvo type="num">
                <xm:f>1</xm:f>
              </x14:cfvo>
              <x14:cfIcon iconSet="3Arrows" iconId="0"/>
              <x14:cfIcon iconSet="NoIcons" iconId="0"/>
              <x14:cfIcon iconSet="3Arrows" iconId="2"/>
            </x14:iconSet>
          </x14:cfRule>
          <x14:cfRule type="iconSet" priority="589" id="{DCA37638-CC5E-0540-9280-602EA5D97695}">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86" id="{56D6E012-75F5-0245-A09A-A36086A31C61}">
            <x14:iconSet custom="1">
              <x14:cfvo type="percent">
                <xm:f>0</xm:f>
              </x14:cfvo>
              <x14:cfvo type="num">
                <xm:f>0</xm:f>
              </x14:cfvo>
              <x14:cfvo type="num" gte="0">
                <xm:f>5</xm:f>
              </x14:cfvo>
              <x14:cfIcon iconSet="3Arrows" iconId="0"/>
              <x14:cfIcon iconSet="3Triangles" iconId="1"/>
              <x14:cfIcon iconSet="3Arrows" iconId="2"/>
            </x14:iconSet>
          </x14:cfRule>
          <xm:sqref>G63:G69</xm:sqref>
        </x14:conditionalFormatting>
        <x14:conditionalFormatting xmlns:xm="http://schemas.microsoft.com/office/excel/2006/main">
          <x14:cfRule type="iconSet" priority="1321" id="{BE59B73F-F5E9-4445-BC02-14BCA6B34F0A}">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318" id="{EED4098D-038C-4A9E-8D38-5A28F719F03F}">
            <x14:iconSet custom="1">
              <x14:cfvo type="percent">
                <xm:f>0</xm:f>
              </x14:cfvo>
              <x14:cfvo type="num">
                <xm:f>0</xm:f>
              </x14:cfvo>
              <x14:cfvo type="num" gte="0">
                <xm:f>5</xm:f>
              </x14:cfvo>
              <x14:cfIcon iconSet="3Arrows" iconId="0"/>
              <x14:cfIcon iconSet="3Triangles" iconId="1"/>
              <x14:cfIcon iconSet="3Arrows" iconId="2"/>
            </x14:iconSet>
          </x14:cfRule>
          <x14:cfRule type="iconSet" priority="1317" id="{34A44EAA-ED0C-47BA-86A8-BD09B2C05228}">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316" id="{19B90650-8F0E-49EB-993A-4E5DB12BE2D9}">
            <x14:iconSet custom="1">
              <x14:cfvo type="percent">
                <xm:f>0</xm:f>
              </x14:cfvo>
              <x14:cfvo type="num">
                <xm:f>0</xm:f>
              </x14:cfvo>
              <x14:cfvo type="num">
                <xm:f>1</xm:f>
              </x14:cfvo>
              <x14:cfIcon iconSet="3Arrows" iconId="0"/>
              <x14:cfIcon iconSet="NoIcons" iconId="0"/>
              <x14:cfIcon iconSet="3Arrows" iconId="2"/>
            </x14:iconSet>
          </x14:cfRule>
          <xm:sqref>G64:G69</xm:sqref>
        </x14:conditionalFormatting>
        <x14:conditionalFormatting xmlns:xm="http://schemas.microsoft.com/office/excel/2006/main">
          <x14:cfRule type="iconSet" priority="382" id="{F7B4124C-A2AE-4739-A3EB-F56ED6912761}">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379" id="{33B23D16-B1BA-4F1B-A351-30F6FE4718F0}">
            <x14:iconSet custom="1">
              <x14:cfvo type="percent">
                <xm:f>0</xm:f>
              </x14:cfvo>
              <x14:cfvo type="num">
                <xm:f>0</xm:f>
              </x14:cfvo>
              <x14:cfvo type="num" gte="0">
                <xm:f>5</xm:f>
              </x14:cfvo>
              <x14:cfIcon iconSet="3Arrows" iconId="0"/>
              <x14:cfIcon iconSet="3Triangles" iconId="1"/>
              <x14:cfIcon iconSet="3Arrows" iconId="2"/>
            </x14:iconSet>
          </x14:cfRule>
          <x14:cfRule type="iconSet" priority="378" id="{88E9A723-6120-4100-A908-E288FC37A90A}">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377" id="{B177DFAE-173F-401B-83CB-BDA63896B6DA}">
            <x14:iconSet custom="1">
              <x14:cfvo type="percent">
                <xm:f>0</xm:f>
              </x14:cfvo>
              <x14:cfvo type="num">
                <xm:f>0</xm:f>
              </x14:cfvo>
              <x14:cfvo type="num">
                <xm:f>1</xm:f>
              </x14:cfvo>
              <x14:cfIcon iconSet="3Arrows" iconId="0"/>
              <x14:cfIcon iconSet="NoIcons" iconId="0"/>
              <x14:cfIcon iconSet="3Arrows" iconId="2"/>
            </x14:iconSet>
          </x14:cfRule>
          <xm:sqref>G72:G75</xm:sqref>
        </x14:conditionalFormatting>
        <x14:conditionalFormatting xmlns:xm="http://schemas.microsoft.com/office/excel/2006/main">
          <x14:cfRule type="iconSet" priority="580" id="{366D76E2-4BF8-5E49-BB79-2EC807AE0833}">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77" id="{E53763FC-187E-084C-A0B3-37F352E6BA18}">
            <x14:iconSet custom="1">
              <x14:cfvo type="percent">
                <xm:f>0</xm:f>
              </x14:cfvo>
              <x14:cfvo type="num">
                <xm:f>0</xm:f>
              </x14:cfvo>
              <x14:cfvo type="num" gte="0">
                <xm:f>5</xm:f>
              </x14:cfvo>
              <x14:cfIcon iconSet="3Arrows" iconId="0"/>
              <x14:cfIcon iconSet="3Triangles" iconId="1"/>
              <x14:cfIcon iconSet="3Arrows" iconId="2"/>
            </x14:iconSet>
          </x14:cfRule>
          <x14:cfRule type="iconSet" priority="576" id="{CF7554DF-B04B-7D47-B99D-024717BEF41C}">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75" id="{BE11AF77-AE32-DC49-AFF2-0AFD807E0A1A}">
            <x14:iconSet custom="1">
              <x14:cfvo type="percent">
                <xm:f>0</xm:f>
              </x14:cfvo>
              <x14:cfvo type="num">
                <xm:f>0</xm:f>
              </x14:cfvo>
              <x14:cfvo type="num">
                <xm:f>1</xm:f>
              </x14:cfvo>
              <x14:cfIcon iconSet="3Arrows" iconId="0"/>
              <x14:cfIcon iconSet="NoIcons" iconId="0"/>
              <x14:cfIcon iconSet="3Arrows" iconId="2"/>
            </x14:iconSet>
          </x14:cfRule>
          <xm:sqref>G84:G90</xm:sqref>
        </x14:conditionalFormatting>
        <x14:conditionalFormatting xmlns:xm="http://schemas.microsoft.com/office/excel/2006/main">
          <x14:cfRule type="iconSet" priority="1312" id="{F22ACBB3-B050-4C02-84EF-630CD667C03D}">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307" id="{0A1A0C6B-8B83-42A7-9450-B903C861E039}">
            <x14:iconSet custom="1">
              <x14:cfvo type="percent">
                <xm:f>0</xm:f>
              </x14:cfvo>
              <x14:cfvo type="num">
                <xm:f>0</xm:f>
              </x14:cfvo>
              <x14:cfvo type="num">
                <xm:f>1</xm:f>
              </x14:cfvo>
              <x14:cfIcon iconSet="3Arrows" iconId="0"/>
              <x14:cfIcon iconSet="NoIcons" iconId="0"/>
              <x14:cfIcon iconSet="3Arrows" iconId="2"/>
            </x14:iconSet>
          </x14:cfRule>
          <x14:cfRule type="iconSet" priority="1308" id="{27ABE120-F7BA-4F7F-AA8C-2913E5E0832B}">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309" id="{5A3EAD7F-7C22-445D-BC44-D3BEE3810A48}">
            <x14:iconSet custom="1">
              <x14:cfvo type="percent">
                <xm:f>0</xm:f>
              </x14:cfvo>
              <x14:cfvo type="num">
                <xm:f>0</xm:f>
              </x14:cfvo>
              <x14:cfvo type="num" gte="0">
                <xm:f>5</xm:f>
              </x14:cfvo>
              <x14:cfIcon iconSet="3Arrows" iconId="0"/>
              <x14:cfIcon iconSet="3Triangles" iconId="1"/>
              <x14:cfIcon iconSet="3Arrows" iconId="2"/>
            </x14:iconSet>
          </x14:cfRule>
          <xm:sqref>G85:G90</xm:sqref>
        </x14:conditionalFormatting>
        <x14:conditionalFormatting xmlns:xm="http://schemas.microsoft.com/office/excel/2006/main">
          <x14:cfRule type="iconSet" priority="357" id="{4B7456B1-3749-4533-9972-2DA45CA27849}">
            <x14:iconSet custom="1">
              <x14:cfvo type="percent">
                <xm:f>0</xm:f>
              </x14:cfvo>
              <x14:cfvo type="num">
                <xm:f>0</xm:f>
              </x14:cfvo>
              <x14:cfvo type="num" gte="0">
                <xm:f>5</xm:f>
              </x14:cfvo>
              <x14:cfIcon iconSet="3Arrows" iconId="0"/>
              <x14:cfIcon iconSet="3Triangles" iconId="1"/>
              <x14:cfIcon iconSet="3Arrows" iconId="2"/>
            </x14:iconSet>
          </x14:cfRule>
          <x14:cfRule type="iconSet" priority="356" id="{E546F5EB-67B1-4B3E-8B70-BAD64EEBB8CF}">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355" id="{73AEF3C6-83E7-4AF4-B9B8-3FB1F865D980}">
            <x14:iconSet custom="1">
              <x14:cfvo type="percent">
                <xm:f>0</xm:f>
              </x14:cfvo>
              <x14:cfvo type="num">
                <xm:f>0</xm:f>
              </x14:cfvo>
              <x14:cfvo type="num">
                <xm:f>1</xm:f>
              </x14:cfvo>
              <x14:cfIcon iconSet="3Arrows" iconId="0"/>
              <x14:cfIcon iconSet="NoIcons" iconId="0"/>
              <x14:cfIcon iconSet="3Arrows" iconId="2"/>
            </x14:iconSet>
          </x14:cfRule>
          <x14:cfRule type="iconSet" priority="360" id="{E983C423-8DFE-4CEA-AB28-93E0A5E7AD50}">
            <x14:iconSet iconSet="3Arrows" custom="1">
              <x14:cfvo type="percent">
                <xm:f>0</xm:f>
              </x14:cfvo>
              <x14:cfvo type="percent">
                <xm:f>0</xm:f>
              </x14:cfvo>
              <x14:cfvo type="percent">
                <xm:f>0</xm:f>
              </x14:cfvo>
              <x14:cfIcon iconSet="3Arrows" iconId="0"/>
              <x14:cfIcon iconSet="NoIcons" iconId="0"/>
              <x14:cfIcon iconSet="3Arrows" iconId="2"/>
            </x14:iconSet>
          </x14:cfRule>
          <xm:sqref>G93:G96</xm:sqref>
        </x14:conditionalFormatting>
        <x14:conditionalFormatting xmlns:xm="http://schemas.microsoft.com/office/excel/2006/main">
          <x14:cfRule type="iconSet" priority="568" id="{26C77570-6665-B64F-BBAD-5718AA2921EF}">
            <x14:iconSet custom="1">
              <x14:cfvo type="percent">
                <xm:f>0</xm:f>
              </x14:cfvo>
              <x14:cfvo type="num">
                <xm:f>0</xm:f>
              </x14:cfvo>
              <x14:cfvo type="num" gte="0">
                <xm:f>5</xm:f>
              </x14:cfvo>
              <x14:cfIcon iconSet="3Arrows" iconId="0"/>
              <x14:cfIcon iconSet="3Triangles" iconId="1"/>
              <x14:cfIcon iconSet="3Arrows" iconId="2"/>
            </x14:iconSet>
          </x14:cfRule>
          <x14:cfRule type="iconSet" priority="566" id="{E54695BF-6C76-E443-8993-C6E0C2856ED3}">
            <x14:iconSet custom="1">
              <x14:cfvo type="percent">
                <xm:f>0</xm:f>
              </x14:cfvo>
              <x14:cfvo type="num">
                <xm:f>0</xm:f>
              </x14:cfvo>
              <x14:cfvo type="num">
                <xm:f>1</xm:f>
              </x14:cfvo>
              <x14:cfIcon iconSet="3Arrows" iconId="0"/>
              <x14:cfIcon iconSet="NoIcons" iconId="0"/>
              <x14:cfIcon iconSet="3Arrows" iconId="2"/>
            </x14:iconSet>
          </x14:cfRule>
          <x14:cfRule type="iconSet" priority="571" id="{E6A51D8C-0546-D644-BBFD-FACC0784D333}">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67" id="{C28A0859-CFC3-464D-88C1-E0EED5FA4D57}">
            <x14:iconSet showValue="0" custom="1">
              <x14:cfvo type="percent">
                <xm:f>0</xm:f>
              </x14:cfvo>
              <x14:cfvo type="num">
                <xm:f>0</xm:f>
              </x14:cfvo>
              <x14:cfvo type="num">
                <xm:f>1</xm:f>
              </x14:cfvo>
              <x14:cfIcon iconSet="3Arrows" iconId="0"/>
              <x14:cfIcon iconSet="NoIcons" iconId="0"/>
              <x14:cfIcon iconSet="3Arrows" iconId="2"/>
            </x14:iconSet>
          </x14:cfRule>
          <xm:sqref>G104:G110</xm:sqref>
        </x14:conditionalFormatting>
        <x14:conditionalFormatting xmlns:xm="http://schemas.microsoft.com/office/excel/2006/main">
          <x14:cfRule type="iconSet" priority="1299" id="{4F66BFF9-4874-41AC-974B-664F85A1C2AA}">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98" id="{4A2667B2-3995-46E6-BEC3-657303B667D4}">
            <x14:iconSet custom="1">
              <x14:cfvo type="percent">
                <xm:f>0</xm:f>
              </x14:cfvo>
              <x14:cfvo type="num">
                <xm:f>0</xm:f>
              </x14:cfvo>
              <x14:cfvo type="num">
                <xm:f>1</xm:f>
              </x14:cfvo>
              <x14:cfIcon iconSet="3Arrows" iconId="0"/>
              <x14:cfIcon iconSet="NoIcons" iconId="0"/>
              <x14:cfIcon iconSet="3Arrows" iconId="2"/>
            </x14:iconSet>
          </x14:cfRule>
          <x14:cfRule type="iconSet" priority="1300" id="{F661A626-32EC-46F7-9274-239733783E89}">
            <x14:iconSet custom="1">
              <x14:cfvo type="percent">
                <xm:f>0</xm:f>
              </x14:cfvo>
              <x14:cfvo type="num">
                <xm:f>0</xm:f>
              </x14:cfvo>
              <x14:cfvo type="num" gte="0">
                <xm:f>5</xm:f>
              </x14:cfvo>
              <x14:cfIcon iconSet="3Arrows" iconId="0"/>
              <x14:cfIcon iconSet="3Triangles" iconId="1"/>
              <x14:cfIcon iconSet="3Arrows" iconId="2"/>
            </x14:iconSet>
          </x14:cfRule>
          <x14:cfRule type="iconSet" priority="1303" id="{A0321A63-078D-47B6-AC20-5F29DA6B4390}">
            <x14:iconSet iconSet="3Arrows" custom="1">
              <x14:cfvo type="percent">
                <xm:f>0</xm:f>
              </x14:cfvo>
              <x14:cfvo type="percent">
                <xm:f>0</xm:f>
              </x14:cfvo>
              <x14:cfvo type="percent">
                <xm:f>0</xm:f>
              </x14:cfvo>
              <x14:cfIcon iconSet="3Arrows" iconId="0"/>
              <x14:cfIcon iconSet="NoIcons" iconId="0"/>
              <x14:cfIcon iconSet="3Arrows" iconId="2"/>
            </x14:iconSet>
          </x14:cfRule>
          <xm:sqref>G105:G110</xm:sqref>
        </x14:conditionalFormatting>
        <x14:conditionalFormatting xmlns:xm="http://schemas.microsoft.com/office/excel/2006/main">
          <x14:cfRule type="iconSet" priority="338" id="{B3482D13-D474-453E-B581-4300449EB1C6}">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335" id="{A1B28C82-CE13-4D08-94AF-37AF3CAC5FED}">
            <x14:iconSet custom="1">
              <x14:cfvo type="percent">
                <xm:f>0</xm:f>
              </x14:cfvo>
              <x14:cfvo type="num">
                <xm:f>0</xm:f>
              </x14:cfvo>
              <x14:cfvo type="num" gte="0">
                <xm:f>5</xm:f>
              </x14:cfvo>
              <x14:cfIcon iconSet="3Arrows" iconId="0"/>
              <x14:cfIcon iconSet="3Triangles" iconId="1"/>
              <x14:cfIcon iconSet="3Arrows" iconId="2"/>
            </x14:iconSet>
          </x14:cfRule>
          <x14:cfRule type="iconSet" priority="334" id="{7E54A2D3-CB99-4626-ABC2-3D94339E965A}">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333" id="{2680C084-F94A-4F83-917E-1368042DFD20}">
            <x14:iconSet custom="1">
              <x14:cfvo type="percent">
                <xm:f>0</xm:f>
              </x14:cfvo>
              <x14:cfvo type="num">
                <xm:f>0</xm:f>
              </x14:cfvo>
              <x14:cfvo type="num">
                <xm:f>1</xm:f>
              </x14:cfvo>
              <x14:cfIcon iconSet="3Arrows" iconId="0"/>
              <x14:cfIcon iconSet="NoIcons" iconId="0"/>
              <x14:cfIcon iconSet="3Arrows" iconId="2"/>
            </x14:iconSet>
          </x14:cfRule>
          <xm:sqref>G113:G116</xm:sqref>
        </x14:conditionalFormatting>
        <x14:conditionalFormatting xmlns:xm="http://schemas.microsoft.com/office/excel/2006/main">
          <x14:cfRule type="iconSet" priority="559" id="{6496C474-6055-AC47-B4D0-B635BF7CDC67}">
            <x14:iconSet custom="1">
              <x14:cfvo type="percent">
                <xm:f>0</xm:f>
              </x14:cfvo>
              <x14:cfvo type="num">
                <xm:f>0</xm:f>
              </x14:cfvo>
              <x14:cfvo type="num" gte="0">
                <xm:f>5</xm:f>
              </x14:cfvo>
              <x14:cfIcon iconSet="3Arrows" iconId="0"/>
              <x14:cfIcon iconSet="3Triangles" iconId="1"/>
              <x14:cfIcon iconSet="3Arrows" iconId="2"/>
            </x14:iconSet>
          </x14:cfRule>
          <x14:cfRule type="iconSet" priority="562" id="{C81C4970-B19E-8048-85B0-9212679FADF2}">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58" id="{834F7FC8-8054-6440-9B34-B5EE5F8DF64B}">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57" id="{D096BEA9-8B4A-EB4B-A8E2-6D23BEEB5BA9}">
            <x14:iconSet custom="1">
              <x14:cfvo type="percent">
                <xm:f>0</xm:f>
              </x14:cfvo>
              <x14:cfvo type="num">
                <xm:f>0</xm:f>
              </x14:cfvo>
              <x14:cfvo type="num">
                <xm:f>1</xm:f>
              </x14:cfvo>
              <x14:cfIcon iconSet="3Arrows" iconId="0"/>
              <x14:cfIcon iconSet="NoIcons" iconId="0"/>
              <x14:cfIcon iconSet="3Arrows" iconId="2"/>
            </x14:iconSet>
          </x14:cfRule>
          <xm:sqref>G124:G130</xm:sqref>
        </x14:conditionalFormatting>
        <x14:conditionalFormatting xmlns:xm="http://schemas.microsoft.com/office/excel/2006/main">
          <x14:cfRule type="iconSet" priority="1294" id="{E062EB20-A91B-407C-B9F3-F46519459D5D}">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290" id="{1064D641-7988-4B80-BF57-EC31B14BCBB1}">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91" id="{C87D942E-1AC1-45FC-8B9D-2D725DA07F77}">
            <x14:iconSet custom="1">
              <x14:cfvo type="percent">
                <xm:f>0</xm:f>
              </x14:cfvo>
              <x14:cfvo type="num">
                <xm:f>0</xm:f>
              </x14:cfvo>
              <x14:cfvo type="num" gte="0">
                <xm:f>5</xm:f>
              </x14:cfvo>
              <x14:cfIcon iconSet="3Arrows" iconId="0"/>
              <x14:cfIcon iconSet="3Triangles" iconId="1"/>
              <x14:cfIcon iconSet="3Arrows" iconId="2"/>
            </x14:iconSet>
          </x14:cfRule>
          <x14:cfRule type="iconSet" priority="1289" id="{57456E93-FD1E-460E-89F7-0048872C56B9}">
            <x14:iconSet custom="1">
              <x14:cfvo type="percent">
                <xm:f>0</xm:f>
              </x14:cfvo>
              <x14:cfvo type="num">
                <xm:f>0</xm:f>
              </x14:cfvo>
              <x14:cfvo type="num">
                <xm:f>1</xm:f>
              </x14:cfvo>
              <x14:cfIcon iconSet="3Arrows" iconId="0"/>
              <x14:cfIcon iconSet="NoIcons" iconId="0"/>
              <x14:cfIcon iconSet="3Arrows" iconId="2"/>
            </x14:iconSet>
          </x14:cfRule>
          <xm:sqref>G125:G130</xm:sqref>
        </x14:conditionalFormatting>
        <x14:conditionalFormatting xmlns:xm="http://schemas.microsoft.com/office/excel/2006/main">
          <x14:cfRule type="iconSet" priority="313" id="{C013BDFB-69B6-41B6-8953-A494D140A130}">
            <x14:iconSet custom="1">
              <x14:cfvo type="percent">
                <xm:f>0</xm:f>
              </x14:cfvo>
              <x14:cfvo type="num">
                <xm:f>0</xm:f>
              </x14:cfvo>
              <x14:cfvo type="num" gte="0">
                <xm:f>5</xm:f>
              </x14:cfvo>
              <x14:cfIcon iconSet="3Arrows" iconId="0"/>
              <x14:cfIcon iconSet="3Triangles" iconId="1"/>
              <x14:cfIcon iconSet="3Arrows" iconId="2"/>
            </x14:iconSet>
          </x14:cfRule>
          <x14:cfRule type="iconSet" priority="311" id="{70E5F10B-82DD-408D-AE4F-26FDE4C4751A}">
            <x14:iconSet custom="1">
              <x14:cfvo type="percent">
                <xm:f>0</xm:f>
              </x14:cfvo>
              <x14:cfvo type="num">
                <xm:f>0</xm:f>
              </x14:cfvo>
              <x14:cfvo type="num">
                <xm:f>1</xm:f>
              </x14:cfvo>
              <x14:cfIcon iconSet="3Arrows" iconId="0"/>
              <x14:cfIcon iconSet="NoIcons" iconId="0"/>
              <x14:cfIcon iconSet="3Arrows" iconId="2"/>
            </x14:iconSet>
          </x14:cfRule>
          <x14:cfRule type="iconSet" priority="316" id="{52839C5B-85D7-46A3-9626-3597A3717913}">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312" id="{BFA82A4C-05B5-4AFB-A138-A98907F0B47A}">
            <x14:iconSet showValue="0" custom="1">
              <x14:cfvo type="percent">
                <xm:f>0</xm:f>
              </x14:cfvo>
              <x14:cfvo type="num">
                <xm:f>0</xm:f>
              </x14:cfvo>
              <x14:cfvo type="num">
                <xm:f>1</xm:f>
              </x14:cfvo>
              <x14:cfIcon iconSet="3Arrows" iconId="0"/>
              <x14:cfIcon iconSet="NoIcons" iconId="0"/>
              <x14:cfIcon iconSet="3Arrows" iconId="2"/>
            </x14:iconSet>
          </x14:cfRule>
          <xm:sqref>G133:G136</xm:sqref>
        </x14:conditionalFormatting>
        <x14:conditionalFormatting xmlns:xm="http://schemas.microsoft.com/office/excel/2006/main">
          <x14:cfRule type="iconSet" priority="553" id="{BA675ED2-E674-A740-B53D-C3D0D40BF4F3}">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50" id="{0A49E80C-70A6-114B-9EEA-E04E36058A78}">
            <x14:iconSet custom="1">
              <x14:cfvo type="percent">
                <xm:f>0</xm:f>
              </x14:cfvo>
              <x14:cfvo type="num">
                <xm:f>0</xm:f>
              </x14:cfvo>
              <x14:cfvo type="num" gte="0">
                <xm:f>5</xm:f>
              </x14:cfvo>
              <x14:cfIcon iconSet="3Arrows" iconId="0"/>
              <x14:cfIcon iconSet="3Triangles" iconId="1"/>
              <x14:cfIcon iconSet="3Arrows" iconId="2"/>
            </x14:iconSet>
          </x14:cfRule>
          <x14:cfRule type="iconSet" priority="548" id="{7B011E2C-61E7-0B4B-B392-93AEDFE2F0C1}">
            <x14:iconSet custom="1">
              <x14:cfvo type="percent">
                <xm:f>0</xm:f>
              </x14:cfvo>
              <x14:cfvo type="num">
                <xm:f>0</xm:f>
              </x14:cfvo>
              <x14:cfvo type="num">
                <xm:f>1</xm:f>
              </x14:cfvo>
              <x14:cfIcon iconSet="3Arrows" iconId="0"/>
              <x14:cfIcon iconSet="NoIcons" iconId="0"/>
              <x14:cfIcon iconSet="3Arrows" iconId="2"/>
            </x14:iconSet>
          </x14:cfRule>
          <x14:cfRule type="iconSet" priority="549" id="{95608F7F-7171-C94D-B7F5-A66941548A01}">
            <x14:iconSet showValue="0" custom="1">
              <x14:cfvo type="percent">
                <xm:f>0</xm:f>
              </x14:cfvo>
              <x14:cfvo type="num">
                <xm:f>0</xm:f>
              </x14:cfvo>
              <x14:cfvo type="num">
                <xm:f>1</xm:f>
              </x14:cfvo>
              <x14:cfIcon iconSet="3Arrows" iconId="0"/>
              <x14:cfIcon iconSet="NoIcons" iconId="0"/>
              <x14:cfIcon iconSet="3Arrows" iconId="2"/>
            </x14:iconSet>
          </x14:cfRule>
          <xm:sqref>G145:G151</xm:sqref>
        </x14:conditionalFormatting>
        <x14:conditionalFormatting xmlns:xm="http://schemas.microsoft.com/office/excel/2006/main">
          <x14:cfRule type="iconSet" priority="1280" id="{D9F588D2-C327-4879-A1D2-9C78DE2140AE}">
            <x14:iconSet custom="1">
              <x14:cfvo type="percent">
                <xm:f>0</xm:f>
              </x14:cfvo>
              <x14:cfvo type="num">
                <xm:f>0</xm:f>
              </x14:cfvo>
              <x14:cfvo type="num">
                <xm:f>1</xm:f>
              </x14:cfvo>
              <x14:cfIcon iconSet="3Arrows" iconId="0"/>
              <x14:cfIcon iconSet="NoIcons" iconId="0"/>
              <x14:cfIcon iconSet="3Arrows" iconId="2"/>
            </x14:iconSet>
          </x14:cfRule>
          <x14:cfRule type="iconSet" priority="1282" id="{F94F4C3C-7886-402E-BBEF-C8B5D31E65A2}">
            <x14:iconSet custom="1">
              <x14:cfvo type="percent">
                <xm:f>0</xm:f>
              </x14:cfvo>
              <x14:cfvo type="num">
                <xm:f>0</xm:f>
              </x14:cfvo>
              <x14:cfvo type="num" gte="0">
                <xm:f>5</xm:f>
              </x14:cfvo>
              <x14:cfIcon iconSet="3Arrows" iconId="0"/>
              <x14:cfIcon iconSet="3Triangles" iconId="1"/>
              <x14:cfIcon iconSet="3Arrows" iconId="2"/>
            </x14:iconSet>
          </x14:cfRule>
          <x14:cfRule type="iconSet" priority="1285" id="{6D151B92-A7AB-451A-9D05-0852C5FB8473}">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281" id="{5A023EE0-5B75-449B-9CAE-A79956C16FAB}">
            <x14:iconSet showValue="0" custom="1">
              <x14:cfvo type="percent">
                <xm:f>0</xm:f>
              </x14:cfvo>
              <x14:cfvo type="num">
                <xm:f>0</xm:f>
              </x14:cfvo>
              <x14:cfvo type="num">
                <xm:f>1</xm:f>
              </x14:cfvo>
              <x14:cfIcon iconSet="3Arrows" iconId="0"/>
              <x14:cfIcon iconSet="NoIcons" iconId="0"/>
              <x14:cfIcon iconSet="3Arrows" iconId="2"/>
            </x14:iconSet>
          </x14:cfRule>
          <xm:sqref>G146:G151</xm:sqref>
        </x14:conditionalFormatting>
        <x14:conditionalFormatting xmlns:xm="http://schemas.microsoft.com/office/excel/2006/main">
          <x14:cfRule type="iconSet" priority="289" id="{D9698E21-AB6A-482C-824F-B982AE4BE4EC}">
            <x14:iconSet custom="1">
              <x14:cfvo type="percent">
                <xm:f>0</xm:f>
              </x14:cfvo>
              <x14:cfvo type="num">
                <xm:f>0</xm:f>
              </x14:cfvo>
              <x14:cfvo type="num">
                <xm:f>1</xm:f>
              </x14:cfvo>
              <x14:cfIcon iconSet="3Arrows" iconId="0"/>
              <x14:cfIcon iconSet="NoIcons" iconId="0"/>
              <x14:cfIcon iconSet="3Arrows" iconId="2"/>
            </x14:iconSet>
          </x14:cfRule>
          <x14:cfRule type="iconSet" priority="294" id="{0ECF0388-7A8B-44B7-ACAF-2C9E7CB7A9DE}">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290" id="{19FFEC55-F99A-4367-A4AD-DE063CA6B008}">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291" id="{C49CE5FB-091F-4475-8BD5-AD6A5A9453F9}">
            <x14:iconSet custom="1">
              <x14:cfvo type="percent">
                <xm:f>0</xm:f>
              </x14:cfvo>
              <x14:cfvo type="num">
                <xm:f>0</xm:f>
              </x14:cfvo>
              <x14:cfvo type="num" gte="0">
                <xm:f>5</xm:f>
              </x14:cfvo>
              <x14:cfIcon iconSet="3Arrows" iconId="0"/>
              <x14:cfIcon iconSet="3Triangles" iconId="1"/>
              <x14:cfIcon iconSet="3Arrows" iconId="2"/>
            </x14:iconSet>
          </x14:cfRule>
          <xm:sqref>G154:G157</xm:sqref>
        </x14:conditionalFormatting>
        <x14:conditionalFormatting xmlns:xm="http://schemas.microsoft.com/office/excel/2006/main">
          <x14:cfRule type="iconSet" priority="544" id="{0DE78256-A314-044D-B63A-ACC39292EE4A}">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41" id="{64DED143-6845-4F4F-A6D6-8909DEA53ED7}">
            <x14:iconSet custom="1">
              <x14:cfvo type="percent">
                <xm:f>0</xm:f>
              </x14:cfvo>
              <x14:cfvo type="num">
                <xm:f>0</xm:f>
              </x14:cfvo>
              <x14:cfvo type="num" gte="0">
                <xm:f>5</xm:f>
              </x14:cfvo>
              <x14:cfIcon iconSet="3Arrows" iconId="0"/>
              <x14:cfIcon iconSet="3Triangles" iconId="1"/>
              <x14:cfIcon iconSet="3Arrows" iconId="2"/>
            </x14:iconSet>
          </x14:cfRule>
          <x14:cfRule type="iconSet" priority="540" id="{0C68E4FE-A4FB-D540-B1E9-AAC64A166701}">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39" id="{5D1191B9-FB18-444D-A262-FACD73F7E72C}">
            <x14:iconSet custom="1">
              <x14:cfvo type="percent">
                <xm:f>0</xm:f>
              </x14:cfvo>
              <x14:cfvo type="num">
                <xm:f>0</xm:f>
              </x14:cfvo>
              <x14:cfvo type="num">
                <xm:f>1</xm:f>
              </x14:cfvo>
              <x14:cfIcon iconSet="3Arrows" iconId="0"/>
              <x14:cfIcon iconSet="NoIcons" iconId="0"/>
              <x14:cfIcon iconSet="3Arrows" iconId="2"/>
            </x14:iconSet>
          </x14:cfRule>
          <xm:sqref>G165:G171</xm:sqref>
        </x14:conditionalFormatting>
        <x14:conditionalFormatting xmlns:xm="http://schemas.microsoft.com/office/excel/2006/main">
          <x14:cfRule type="iconSet" priority="1271" id="{6B6FC27A-205D-4520-84CD-40A26382467C}">
            <x14:iconSet custom="1">
              <x14:cfvo type="percent">
                <xm:f>0</xm:f>
              </x14:cfvo>
              <x14:cfvo type="num">
                <xm:f>0</xm:f>
              </x14:cfvo>
              <x14:cfvo type="num">
                <xm:f>1</xm:f>
              </x14:cfvo>
              <x14:cfIcon iconSet="3Arrows" iconId="0"/>
              <x14:cfIcon iconSet="NoIcons" iconId="0"/>
              <x14:cfIcon iconSet="3Arrows" iconId="2"/>
            </x14:iconSet>
          </x14:cfRule>
          <x14:cfRule type="iconSet" priority="1272" id="{280E97ED-2F90-453E-9D81-C0862FFBEC05}">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76" id="{9FBC3E09-732E-4ACD-80BD-A5DAE4D265AE}">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273" id="{D2C15977-7B92-430B-889D-3E611EEF63BC}">
            <x14:iconSet custom="1">
              <x14:cfvo type="percent">
                <xm:f>0</xm:f>
              </x14:cfvo>
              <x14:cfvo type="num">
                <xm:f>0</xm:f>
              </x14:cfvo>
              <x14:cfvo type="num" gte="0">
                <xm:f>5</xm:f>
              </x14:cfvo>
              <x14:cfIcon iconSet="3Arrows" iconId="0"/>
              <x14:cfIcon iconSet="3Triangles" iconId="1"/>
              <x14:cfIcon iconSet="3Arrows" iconId="2"/>
            </x14:iconSet>
          </x14:cfRule>
          <xm:sqref>G166:G171</xm:sqref>
        </x14:conditionalFormatting>
        <x14:conditionalFormatting xmlns:xm="http://schemas.microsoft.com/office/excel/2006/main">
          <x14:cfRule type="iconSet" priority="272" id="{479354BF-60BB-4294-913E-59A8B64F56BC}">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268" id="{7749C162-8F13-4C39-8A4D-4BCD88A5BBEB}">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267" id="{D6627390-86B1-4C6F-BCC4-5F17E0ABB8D0}">
            <x14:iconSet custom="1">
              <x14:cfvo type="percent">
                <xm:f>0</xm:f>
              </x14:cfvo>
              <x14:cfvo type="num">
                <xm:f>0</xm:f>
              </x14:cfvo>
              <x14:cfvo type="num">
                <xm:f>1</xm:f>
              </x14:cfvo>
              <x14:cfIcon iconSet="3Arrows" iconId="0"/>
              <x14:cfIcon iconSet="NoIcons" iconId="0"/>
              <x14:cfIcon iconSet="3Arrows" iconId="2"/>
            </x14:iconSet>
          </x14:cfRule>
          <x14:cfRule type="iconSet" priority="269" id="{6E7F1305-1A33-4C1A-9D6D-FF96B02D2310}">
            <x14:iconSet custom="1">
              <x14:cfvo type="percent">
                <xm:f>0</xm:f>
              </x14:cfvo>
              <x14:cfvo type="num">
                <xm:f>0</xm:f>
              </x14:cfvo>
              <x14:cfvo type="num" gte="0">
                <xm:f>5</xm:f>
              </x14:cfvo>
              <x14:cfIcon iconSet="3Arrows" iconId="0"/>
              <x14:cfIcon iconSet="3Triangles" iconId="1"/>
              <x14:cfIcon iconSet="3Arrows" iconId="2"/>
            </x14:iconSet>
          </x14:cfRule>
          <xm:sqref>G174:G177</xm:sqref>
        </x14:conditionalFormatting>
        <x14:conditionalFormatting xmlns:xm="http://schemas.microsoft.com/office/excel/2006/main">
          <x14:cfRule type="iconSet" priority="535" id="{E602FA6D-77BF-9B45-9FBE-48EFD5ADEDDC}">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30" id="{212B3B1F-7BD2-4A46-B023-F2F2719E3AAC}">
            <x14:iconSet custom="1">
              <x14:cfvo type="percent">
                <xm:f>0</xm:f>
              </x14:cfvo>
              <x14:cfvo type="num">
                <xm:f>0</xm:f>
              </x14:cfvo>
              <x14:cfvo type="num">
                <xm:f>1</xm:f>
              </x14:cfvo>
              <x14:cfIcon iconSet="3Arrows" iconId="0"/>
              <x14:cfIcon iconSet="NoIcons" iconId="0"/>
              <x14:cfIcon iconSet="3Arrows" iconId="2"/>
            </x14:iconSet>
          </x14:cfRule>
          <x14:cfRule type="iconSet" priority="531" id="{DA47D331-22BD-BC41-9866-BA3B5DF0A348}">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32" id="{65B87186-BC5B-8F47-A300-C3B82221DFBE}">
            <x14:iconSet custom="1">
              <x14:cfvo type="percent">
                <xm:f>0</xm:f>
              </x14:cfvo>
              <x14:cfvo type="num">
                <xm:f>0</xm:f>
              </x14:cfvo>
              <x14:cfvo type="num" gte="0">
                <xm:f>5</xm:f>
              </x14:cfvo>
              <x14:cfIcon iconSet="3Arrows" iconId="0"/>
              <x14:cfIcon iconSet="3Triangles" iconId="1"/>
              <x14:cfIcon iconSet="3Arrows" iconId="2"/>
            </x14:iconSet>
          </x14:cfRule>
          <xm:sqref>G185:G191</xm:sqref>
        </x14:conditionalFormatting>
        <x14:conditionalFormatting xmlns:xm="http://schemas.microsoft.com/office/excel/2006/main">
          <x14:cfRule type="iconSet" priority="1257" id="{AA54BE90-0155-4177-BFE6-6B5ABD90CC9A}">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252" id="{522A3823-5A84-4AB3-9854-4C08884EF1A7}">
            <x14:iconSet custom="1">
              <x14:cfvo type="percent">
                <xm:f>0</xm:f>
              </x14:cfvo>
              <x14:cfvo type="num">
                <xm:f>0</xm:f>
              </x14:cfvo>
              <x14:cfvo type="num">
                <xm:f>1</xm:f>
              </x14:cfvo>
              <x14:cfIcon iconSet="3Arrows" iconId="0"/>
              <x14:cfIcon iconSet="NoIcons" iconId="0"/>
              <x14:cfIcon iconSet="3Arrows" iconId="2"/>
            </x14:iconSet>
          </x14:cfRule>
          <x14:cfRule type="iconSet" priority="1253" id="{349F0EFE-3CB5-4F02-BA59-7444BCFFB2F4}">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54" id="{67856B11-AF9D-4938-8786-14B18584CAF2}">
            <x14:iconSet custom="1">
              <x14:cfvo type="percent">
                <xm:f>0</xm:f>
              </x14:cfvo>
              <x14:cfvo type="num">
                <xm:f>0</xm:f>
              </x14:cfvo>
              <x14:cfvo type="num" gte="0">
                <xm:f>5</xm:f>
              </x14:cfvo>
              <x14:cfIcon iconSet="3Arrows" iconId="0"/>
              <x14:cfIcon iconSet="3Triangles" iconId="1"/>
              <x14:cfIcon iconSet="3Arrows" iconId="2"/>
            </x14:iconSet>
          </x14:cfRule>
          <xm:sqref>G186:G191</xm:sqref>
        </x14:conditionalFormatting>
        <x14:conditionalFormatting xmlns:xm="http://schemas.microsoft.com/office/excel/2006/main">
          <x14:cfRule type="iconSet" priority="246" id="{028E0CDD-9620-4D46-9786-B5BF7ACE8FF3}">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245" id="{1ADDA334-ED25-485D-8F38-5D9FFF823AA0}">
            <x14:iconSet custom="1">
              <x14:cfvo type="percent">
                <xm:f>0</xm:f>
              </x14:cfvo>
              <x14:cfvo type="num">
                <xm:f>0</xm:f>
              </x14:cfvo>
              <x14:cfvo type="num">
                <xm:f>1</xm:f>
              </x14:cfvo>
              <x14:cfIcon iconSet="3Arrows" iconId="0"/>
              <x14:cfIcon iconSet="NoIcons" iconId="0"/>
              <x14:cfIcon iconSet="3Arrows" iconId="2"/>
            </x14:iconSet>
          </x14:cfRule>
          <x14:cfRule type="iconSet" priority="250" id="{06216201-28C3-471A-BB1F-84AAA148455D}">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247" id="{B89B2962-3170-4C9A-ADFD-9DB3656EB00D}">
            <x14:iconSet custom="1">
              <x14:cfvo type="percent">
                <xm:f>0</xm:f>
              </x14:cfvo>
              <x14:cfvo type="num">
                <xm:f>0</xm:f>
              </x14:cfvo>
              <x14:cfvo type="num" gte="0">
                <xm:f>5</xm:f>
              </x14:cfvo>
              <x14:cfIcon iconSet="3Arrows" iconId="0"/>
              <x14:cfIcon iconSet="3Triangles" iconId="1"/>
              <x14:cfIcon iconSet="3Arrows" iconId="2"/>
            </x14:iconSet>
          </x14:cfRule>
          <xm:sqref>G194:G197</xm:sqref>
        </x14:conditionalFormatting>
        <x14:conditionalFormatting xmlns:xm="http://schemas.microsoft.com/office/excel/2006/main">
          <x14:cfRule type="iconSet" priority="523" id="{F6472A3D-5553-054D-AAB2-783D7D8609FA}">
            <x14:iconSet custom="1">
              <x14:cfvo type="percent">
                <xm:f>0</xm:f>
              </x14:cfvo>
              <x14:cfvo type="num">
                <xm:f>0</xm:f>
              </x14:cfvo>
              <x14:cfvo type="num" gte="0">
                <xm:f>5</xm:f>
              </x14:cfvo>
              <x14:cfIcon iconSet="3Arrows" iconId="0"/>
              <x14:cfIcon iconSet="3Triangles" iconId="1"/>
              <x14:cfIcon iconSet="3Arrows" iconId="2"/>
            </x14:iconSet>
          </x14:cfRule>
          <x14:cfRule type="iconSet" priority="521" id="{8E54CC79-66FF-CC4B-9D00-48C6487FABF3}">
            <x14:iconSet custom="1">
              <x14:cfvo type="percent">
                <xm:f>0</xm:f>
              </x14:cfvo>
              <x14:cfvo type="num">
                <xm:f>0</xm:f>
              </x14:cfvo>
              <x14:cfvo type="num">
                <xm:f>1</xm:f>
              </x14:cfvo>
              <x14:cfIcon iconSet="3Arrows" iconId="0"/>
              <x14:cfIcon iconSet="NoIcons" iconId="0"/>
              <x14:cfIcon iconSet="3Arrows" iconId="2"/>
            </x14:iconSet>
          </x14:cfRule>
          <x14:cfRule type="iconSet" priority="522" id="{683A563F-AABD-AD42-A782-56158D9352A9}">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26" id="{FF2C59E9-3F2F-6C49-92A4-37C213D0181B}">
            <x14:iconSet iconSet="3Arrows" custom="1">
              <x14:cfvo type="percent">
                <xm:f>0</xm:f>
              </x14:cfvo>
              <x14:cfvo type="percent">
                <xm:f>0</xm:f>
              </x14:cfvo>
              <x14:cfvo type="percent">
                <xm:f>0</xm:f>
              </x14:cfvo>
              <x14:cfIcon iconSet="3Arrows" iconId="0"/>
              <x14:cfIcon iconSet="NoIcons" iconId="0"/>
              <x14:cfIcon iconSet="3Arrows" iconId="2"/>
            </x14:iconSet>
          </x14:cfRule>
          <xm:sqref>G206:G212</xm:sqref>
        </x14:conditionalFormatting>
        <x14:conditionalFormatting xmlns:xm="http://schemas.microsoft.com/office/excel/2006/main">
          <x14:cfRule type="iconSet" priority="1243" id="{F6235D17-1747-4B52-A14B-D372148A442F}">
            <x14:iconSet custom="1">
              <x14:cfvo type="percent">
                <xm:f>0</xm:f>
              </x14:cfvo>
              <x14:cfvo type="num">
                <xm:f>0</xm:f>
              </x14:cfvo>
              <x14:cfvo type="num" gte="0">
                <xm:f>5</xm:f>
              </x14:cfvo>
              <x14:cfIcon iconSet="3Arrows" iconId="0"/>
              <x14:cfIcon iconSet="3Triangles" iconId="1"/>
              <x14:cfIcon iconSet="3Arrows" iconId="2"/>
            </x14:iconSet>
          </x14:cfRule>
          <x14:cfRule type="iconSet" priority="1246" id="{54674272-C213-4069-95A3-256FAC9757EF}">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242" id="{4C9BD336-DE9C-4E86-9610-D5E2FAFC90AA}">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41" id="{34E19533-C792-46A3-8584-68B2D972DCF8}">
            <x14:iconSet custom="1">
              <x14:cfvo type="percent">
                <xm:f>0</xm:f>
              </x14:cfvo>
              <x14:cfvo type="num">
                <xm:f>0</xm:f>
              </x14:cfvo>
              <x14:cfvo type="num">
                <xm:f>1</xm:f>
              </x14:cfvo>
              <x14:cfIcon iconSet="3Arrows" iconId="0"/>
              <x14:cfIcon iconSet="NoIcons" iconId="0"/>
              <x14:cfIcon iconSet="3Arrows" iconId="2"/>
            </x14:iconSet>
          </x14:cfRule>
          <xm:sqref>G207:G212</xm:sqref>
        </x14:conditionalFormatting>
        <x14:conditionalFormatting xmlns:xm="http://schemas.microsoft.com/office/excel/2006/main">
          <x14:cfRule type="iconSet" priority="228" id="{EBD31D85-7B20-4247-9205-5E15622079FE}">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223" id="{F5C86DA8-2B95-4BB7-9509-96B2E99EBCE2}">
            <x14:iconSet custom="1">
              <x14:cfvo type="percent">
                <xm:f>0</xm:f>
              </x14:cfvo>
              <x14:cfvo type="num">
                <xm:f>0</xm:f>
              </x14:cfvo>
              <x14:cfvo type="num">
                <xm:f>1</xm:f>
              </x14:cfvo>
              <x14:cfIcon iconSet="3Arrows" iconId="0"/>
              <x14:cfIcon iconSet="NoIcons" iconId="0"/>
              <x14:cfIcon iconSet="3Arrows" iconId="2"/>
            </x14:iconSet>
          </x14:cfRule>
          <x14:cfRule type="iconSet" priority="224" id="{28815B71-8255-4B79-B599-C140DF51AA9F}">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225" id="{FD0A3419-55AD-4E55-A3E1-76BE91A91A0E}">
            <x14:iconSet custom="1">
              <x14:cfvo type="percent">
                <xm:f>0</xm:f>
              </x14:cfvo>
              <x14:cfvo type="num">
                <xm:f>0</xm:f>
              </x14:cfvo>
              <x14:cfvo type="num" gte="0">
                <xm:f>5</xm:f>
              </x14:cfvo>
              <x14:cfIcon iconSet="3Arrows" iconId="0"/>
              <x14:cfIcon iconSet="3Triangles" iconId="1"/>
              <x14:cfIcon iconSet="3Arrows" iconId="2"/>
            </x14:iconSet>
          </x14:cfRule>
          <xm:sqref>G215:G218</xm:sqref>
        </x14:conditionalFormatting>
        <x14:conditionalFormatting xmlns:xm="http://schemas.microsoft.com/office/excel/2006/main">
          <x14:cfRule type="iconSet" priority="514" id="{8032A7F2-F062-EB4F-901F-51BC306D9611}">
            <x14:iconSet custom="1">
              <x14:cfvo type="percent">
                <xm:f>0</xm:f>
              </x14:cfvo>
              <x14:cfvo type="num">
                <xm:f>0</xm:f>
              </x14:cfvo>
              <x14:cfvo type="num" gte="0">
                <xm:f>5</xm:f>
              </x14:cfvo>
              <x14:cfIcon iconSet="3Arrows" iconId="0"/>
              <x14:cfIcon iconSet="3Triangles" iconId="1"/>
              <x14:cfIcon iconSet="3Arrows" iconId="2"/>
            </x14:iconSet>
          </x14:cfRule>
          <x14:cfRule type="iconSet" priority="517" id="{D729BDD6-E14C-3746-A919-3C21F3C5E9D4}">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12" id="{CB57F295-7197-1A40-95C8-535C4776D473}">
            <x14:iconSet custom="1">
              <x14:cfvo type="percent">
                <xm:f>0</xm:f>
              </x14:cfvo>
              <x14:cfvo type="num">
                <xm:f>0</xm:f>
              </x14:cfvo>
              <x14:cfvo type="num">
                <xm:f>1</xm:f>
              </x14:cfvo>
              <x14:cfIcon iconSet="3Arrows" iconId="0"/>
              <x14:cfIcon iconSet="NoIcons" iconId="0"/>
              <x14:cfIcon iconSet="3Arrows" iconId="2"/>
            </x14:iconSet>
          </x14:cfRule>
          <x14:cfRule type="iconSet" priority="513" id="{482A40EF-A46C-3148-BA34-41C05B4826C3}">
            <x14:iconSet showValue="0" custom="1">
              <x14:cfvo type="percent">
                <xm:f>0</xm:f>
              </x14:cfvo>
              <x14:cfvo type="num">
                <xm:f>0</xm:f>
              </x14:cfvo>
              <x14:cfvo type="num">
                <xm:f>1</xm:f>
              </x14:cfvo>
              <x14:cfIcon iconSet="3Arrows" iconId="0"/>
              <x14:cfIcon iconSet="NoIcons" iconId="0"/>
              <x14:cfIcon iconSet="3Arrows" iconId="2"/>
            </x14:iconSet>
          </x14:cfRule>
          <xm:sqref>G226:G232</xm:sqref>
        </x14:conditionalFormatting>
        <x14:conditionalFormatting xmlns:xm="http://schemas.microsoft.com/office/excel/2006/main">
          <x14:cfRule type="iconSet" priority="1232" id="{C7858D8A-5C19-4AE2-B386-A07C03FDF892}">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31" id="{D08ACB34-8EFC-4578-8B76-595527F1947A}">
            <x14:iconSet custom="1">
              <x14:cfvo type="percent">
                <xm:f>0</xm:f>
              </x14:cfvo>
              <x14:cfvo type="num">
                <xm:f>0</xm:f>
              </x14:cfvo>
              <x14:cfvo type="num">
                <xm:f>1</xm:f>
              </x14:cfvo>
              <x14:cfIcon iconSet="3Arrows" iconId="0"/>
              <x14:cfIcon iconSet="NoIcons" iconId="0"/>
              <x14:cfIcon iconSet="3Arrows" iconId="2"/>
            </x14:iconSet>
          </x14:cfRule>
          <x14:cfRule type="iconSet" priority="1233" id="{AA2B4B22-93BA-4E5E-98D9-C22DD2356AC4}">
            <x14:iconSet custom="1">
              <x14:cfvo type="percent">
                <xm:f>0</xm:f>
              </x14:cfvo>
              <x14:cfvo type="num">
                <xm:f>0</xm:f>
              </x14:cfvo>
              <x14:cfvo type="num" gte="0">
                <xm:f>5</xm:f>
              </x14:cfvo>
              <x14:cfIcon iconSet="3Arrows" iconId="0"/>
              <x14:cfIcon iconSet="3Triangles" iconId="1"/>
              <x14:cfIcon iconSet="3Arrows" iconId="2"/>
            </x14:iconSet>
          </x14:cfRule>
          <x14:cfRule type="iconSet" priority="1236" id="{92B3888C-1D2F-4066-A4CF-F55D7FDA57AD}">
            <x14:iconSet iconSet="3Arrows" custom="1">
              <x14:cfvo type="percent">
                <xm:f>0</xm:f>
              </x14:cfvo>
              <x14:cfvo type="percent">
                <xm:f>0</xm:f>
              </x14:cfvo>
              <x14:cfvo type="percent">
                <xm:f>0</xm:f>
              </x14:cfvo>
              <x14:cfIcon iconSet="3Arrows" iconId="0"/>
              <x14:cfIcon iconSet="NoIcons" iconId="0"/>
              <x14:cfIcon iconSet="3Arrows" iconId="2"/>
            </x14:iconSet>
          </x14:cfRule>
          <xm:sqref>G227:G232</xm:sqref>
        </x14:conditionalFormatting>
        <x14:conditionalFormatting xmlns:xm="http://schemas.microsoft.com/office/excel/2006/main">
          <x14:cfRule type="iconSet" priority="206" id="{BB20E239-60AA-49EC-8BD8-6DB8607A770F}">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203" id="{EAA1184F-F894-4A0E-9BCA-4DDE7608D8D5}">
            <x14:iconSet custom="1">
              <x14:cfvo type="percent">
                <xm:f>0</xm:f>
              </x14:cfvo>
              <x14:cfvo type="num">
                <xm:f>0</xm:f>
              </x14:cfvo>
              <x14:cfvo type="num" gte="0">
                <xm:f>5</xm:f>
              </x14:cfvo>
              <x14:cfIcon iconSet="3Arrows" iconId="0"/>
              <x14:cfIcon iconSet="3Triangles" iconId="1"/>
              <x14:cfIcon iconSet="3Arrows" iconId="2"/>
            </x14:iconSet>
          </x14:cfRule>
          <x14:cfRule type="iconSet" priority="202" id="{6DA5F70A-2118-41FC-A7BA-ABCE9B129EF9}">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201" id="{23D52F7B-C05F-47E0-AE8F-B3B4EF1FE31C}">
            <x14:iconSet custom="1">
              <x14:cfvo type="percent">
                <xm:f>0</xm:f>
              </x14:cfvo>
              <x14:cfvo type="num">
                <xm:f>0</xm:f>
              </x14:cfvo>
              <x14:cfvo type="num">
                <xm:f>1</xm:f>
              </x14:cfvo>
              <x14:cfIcon iconSet="3Arrows" iconId="0"/>
              <x14:cfIcon iconSet="NoIcons" iconId="0"/>
              <x14:cfIcon iconSet="3Arrows" iconId="2"/>
            </x14:iconSet>
          </x14:cfRule>
          <xm:sqref>G235:G238</xm:sqref>
        </x14:conditionalFormatting>
        <x14:conditionalFormatting xmlns:xm="http://schemas.microsoft.com/office/excel/2006/main">
          <x14:cfRule type="iconSet" priority="503" id="{7A61D987-333A-F64E-A955-4F45EF9F9637}">
            <x14:iconSet custom="1">
              <x14:cfvo type="percent">
                <xm:f>0</xm:f>
              </x14:cfvo>
              <x14:cfvo type="num">
                <xm:f>0</xm:f>
              </x14:cfvo>
              <x14:cfvo type="num">
                <xm:f>1</xm:f>
              </x14:cfvo>
              <x14:cfIcon iconSet="3Arrows" iconId="0"/>
              <x14:cfIcon iconSet="NoIcons" iconId="0"/>
              <x14:cfIcon iconSet="3Arrows" iconId="2"/>
            </x14:iconSet>
          </x14:cfRule>
          <x14:cfRule type="iconSet" priority="504" id="{D290F7AB-3372-9344-8D70-52EE467A4E18}">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05" id="{6BC9C6F8-00E0-DE4D-A056-7266EA44E37A}">
            <x14:iconSet custom="1">
              <x14:cfvo type="percent">
                <xm:f>0</xm:f>
              </x14:cfvo>
              <x14:cfvo type="num">
                <xm:f>0</xm:f>
              </x14:cfvo>
              <x14:cfvo type="num" gte="0">
                <xm:f>5</xm:f>
              </x14:cfvo>
              <x14:cfIcon iconSet="3Arrows" iconId="0"/>
              <x14:cfIcon iconSet="3Triangles" iconId="1"/>
              <x14:cfIcon iconSet="3Arrows" iconId="2"/>
            </x14:iconSet>
          </x14:cfRule>
          <x14:cfRule type="iconSet" priority="508" id="{BDF6E060-3689-CB43-BC1D-C8E836D91FD8}">
            <x14:iconSet iconSet="3Arrows" custom="1">
              <x14:cfvo type="percent">
                <xm:f>0</xm:f>
              </x14:cfvo>
              <x14:cfvo type="percent">
                <xm:f>0</xm:f>
              </x14:cfvo>
              <x14:cfvo type="percent">
                <xm:f>0</xm:f>
              </x14:cfvo>
              <x14:cfIcon iconSet="3Arrows" iconId="0"/>
              <x14:cfIcon iconSet="NoIcons" iconId="0"/>
              <x14:cfIcon iconSet="3Arrows" iconId="2"/>
            </x14:iconSet>
          </x14:cfRule>
          <xm:sqref>G245:G251</xm:sqref>
        </x14:conditionalFormatting>
        <x14:conditionalFormatting xmlns:xm="http://schemas.microsoft.com/office/excel/2006/main">
          <x14:cfRule type="iconSet" priority="1226" id="{81879BFC-CB7D-4828-8A2A-4181DEE9FAE1}">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222" id="{D0371671-F0E9-4CF7-87B4-70CF1060BAB8}">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21" id="{2AAB2A67-4405-4294-B929-484F1DE64B30}">
            <x14:iconSet custom="1">
              <x14:cfvo type="percent">
                <xm:f>0</xm:f>
              </x14:cfvo>
              <x14:cfvo type="num">
                <xm:f>0</xm:f>
              </x14:cfvo>
              <x14:cfvo type="num">
                <xm:f>1</xm:f>
              </x14:cfvo>
              <x14:cfIcon iconSet="3Arrows" iconId="0"/>
              <x14:cfIcon iconSet="NoIcons" iconId="0"/>
              <x14:cfIcon iconSet="3Arrows" iconId="2"/>
            </x14:iconSet>
          </x14:cfRule>
          <x14:cfRule type="iconSet" priority="1223" id="{CC9CC79D-6B7C-4C39-9BD9-80C2D200F183}">
            <x14:iconSet custom="1">
              <x14:cfvo type="percent">
                <xm:f>0</xm:f>
              </x14:cfvo>
              <x14:cfvo type="num">
                <xm:f>0</xm:f>
              </x14:cfvo>
              <x14:cfvo type="num" gte="0">
                <xm:f>5</xm:f>
              </x14:cfvo>
              <x14:cfIcon iconSet="3Arrows" iconId="0"/>
              <x14:cfIcon iconSet="3Triangles" iconId="1"/>
              <x14:cfIcon iconSet="3Arrows" iconId="2"/>
            </x14:iconSet>
          </x14:cfRule>
          <xm:sqref>G246:G251</xm:sqref>
        </x14:conditionalFormatting>
        <x14:conditionalFormatting xmlns:xm="http://schemas.microsoft.com/office/excel/2006/main">
          <x14:cfRule type="iconSet" priority="184" id="{4CD178A5-6293-4437-B48C-3F2DC459AE58}">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80" id="{744A53E2-75AD-4A09-ABA8-EDA32039A8BC}">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79" id="{685AB69E-09C1-449C-A46F-38A89304E791}">
            <x14:iconSet custom="1">
              <x14:cfvo type="percent">
                <xm:f>0</xm:f>
              </x14:cfvo>
              <x14:cfvo type="num">
                <xm:f>0</xm:f>
              </x14:cfvo>
              <x14:cfvo type="num">
                <xm:f>1</xm:f>
              </x14:cfvo>
              <x14:cfIcon iconSet="3Arrows" iconId="0"/>
              <x14:cfIcon iconSet="NoIcons" iconId="0"/>
              <x14:cfIcon iconSet="3Arrows" iconId="2"/>
            </x14:iconSet>
          </x14:cfRule>
          <x14:cfRule type="iconSet" priority="181" id="{CDEE9421-C547-4A71-B411-490374CBAB03}">
            <x14:iconSet custom="1">
              <x14:cfvo type="percent">
                <xm:f>0</xm:f>
              </x14:cfvo>
              <x14:cfvo type="num">
                <xm:f>0</xm:f>
              </x14:cfvo>
              <x14:cfvo type="num" gte="0">
                <xm:f>5</xm:f>
              </x14:cfvo>
              <x14:cfIcon iconSet="3Arrows" iconId="0"/>
              <x14:cfIcon iconSet="3Triangles" iconId="1"/>
              <x14:cfIcon iconSet="3Arrows" iconId="2"/>
            </x14:iconSet>
          </x14:cfRule>
          <xm:sqref>G254:G257</xm:sqref>
        </x14:conditionalFormatting>
        <x14:conditionalFormatting xmlns:xm="http://schemas.microsoft.com/office/excel/2006/main">
          <x14:cfRule type="iconSet" priority="496" id="{ED807078-3A91-D249-BC38-0D4940F8CD4E}">
            <x14:iconSet custom="1">
              <x14:cfvo type="percent">
                <xm:f>0</xm:f>
              </x14:cfvo>
              <x14:cfvo type="num">
                <xm:f>0</xm:f>
              </x14:cfvo>
              <x14:cfvo type="num" gte="0">
                <xm:f>5</xm:f>
              </x14:cfvo>
              <x14:cfIcon iconSet="3Arrows" iconId="0"/>
              <x14:cfIcon iconSet="3Triangles" iconId="1"/>
              <x14:cfIcon iconSet="3Arrows" iconId="2"/>
            </x14:iconSet>
          </x14:cfRule>
          <x14:cfRule type="iconSet" priority="495" id="{8C89D0B8-29BA-5B4B-8EC7-9CC9AAAF6EEE}">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499" id="{58F94476-8B6B-A64B-8179-E4FE3A3DCF5E}">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494" id="{E2736563-C531-EA4F-BF07-BB80FF71A92C}">
            <x14:iconSet custom="1">
              <x14:cfvo type="percent">
                <xm:f>0</xm:f>
              </x14:cfvo>
              <x14:cfvo type="num">
                <xm:f>0</xm:f>
              </x14:cfvo>
              <x14:cfvo type="num">
                <xm:f>1</xm:f>
              </x14:cfvo>
              <x14:cfIcon iconSet="3Arrows" iconId="0"/>
              <x14:cfIcon iconSet="NoIcons" iconId="0"/>
              <x14:cfIcon iconSet="3Arrows" iconId="2"/>
            </x14:iconSet>
          </x14:cfRule>
          <xm:sqref>G264:G270</xm:sqref>
        </x14:conditionalFormatting>
        <x14:conditionalFormatting xmlns:xm="http://schemas.microsoft.com/office/excel/2006/main">
          <x14:cfRule type="iconSet" priority="1212" id="{EA0DD2CA-1899-440D-BA1F-80FB6B6962BE}">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11" id="{A5B3AFB4-39F0-4538-B01E-D89CFBD44887}">
            <x14:iconSet custom="1">
              <x14:cfvo type="percent">
                <xm:f>0</xm:f>
              </x14:cfvo>
              <x14:cfvo type="num">
                <xm:f>0</xm:f>
              </x14:cfvo>
              <x14:cfvo type="num">
                <xm:f>1</xm:f>
              </x14:cfvo>
              <x14:cfIcon iconSet="3Arrows" iconId="0"/>
              <x14:cfIcon iconSet="NoIcons" iconId="0"/>
              <x14:cfIcon iconSet="3Arrows" iconId="2"/>
            </x14:iconSet>
          </x14:cfRule>
          <x14:cfRule type="iconSet" priority="1213" id="{05FF7919-DDCE-485D-8F46-62A945DD8A49}">
            <x14:iconSet custom="1">
              <x14:cfvo type="percent">
                <xm:f>0</xm:f>
              </x14:cfvo>
              <x14:cfvo type="num">
                <xm:f>0</xm:f>
              </x14:cfvo>
              <x14:cfvo type="num" gte="0">
                <xm:f>5</xm:f>
              </x14:cfvo>
              <x14:cfIcon iconSet="3Arrows" iconId="0"/>
              <x14:cfIcon iconSet="3Triangles" iconId="1"/>
              <x14:cfIcon iconSet="3Arrows" iconId="2"/>
            </x14:iconSet>
          </x14:cfRule>
          <x14:cfRule type="iconSet" priority="1216" id="{90EED543-9625-4597-90DB-A8D3D32ABF8F}">
            <x14:iconSet iconSet="3Arrows" custom="1">
              <x14:cfvo type="percent">
                <xm:f>0</xm:f>
              </x14:cfvo>
              <x14:cfvo type="percent">
                <xm:f>0</xm:f>
              </x14:cfvo>
              <x14:cfvo type="percent">
                <xm:f>0</xm:f>
              </x14:cfvo>
              <x14:cfIcon iconSet="3Arrows" iconId="0"/>
              <x14:cfIcon iconSet="NoIcons" iconId="0"/>
              <x14:cfIcon iconSet="3Arrows" iconId="2"/>
            </x14:iconSet>
          </x14:cfRule>
          <xm:sqref>G265:G270</xm:sqref>
        </x14:conditionalFormatting>
        <x14:conditionalFormatting xmlns:xm="http://schemas.microsoft.com/office/excel/2006/main">
          <x14:cfRule type="iconSet" priority="157" id="{8DD5B0D8-FFC2-4D3F-8060-CE1662021B1D}">
            <x14:iconSet custom="1">
              <x14:cfvo type="percent">
                <xm:f>0</xm:f>
              </x14:cfvo>
              <x14:cfvo type="num">
                <xm:f>0</xm:f>
              </x14:cfvo>
              <x14:cfvo type="num">
                <xm:f>1</xm:f>
              </x14:cfvo>
              <x14:cfIcon iconSet="3Arrows" iconId="0"/>
              <x14:cfIcon iconSet="NoIcons" iconId="0"/>
              <x14:cfIcon iconSet="3Arrows" iconId="2"/>
            </x14:iconSet>
          </x14:cfRule>
          <x14:cfRule type="iconSet" priority="158" id="{B97A579A-4C50-47D0-A979-2DF67B005DD2}">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59" id="{CA7924D5-5E5D-469E-AC68-ECB609B00B18}">
            <x14:iconSet custom="1">
              <x14:cfvo type="percent">
                <xm:f>0</xm:f>
              </x14:cfvo>
              <x14:cfvo type="num">
                <xm:f>0</xm:f>
              </x14:cfvo>
              <x14:cfvo type="num" gte="0">
                <xm:f>5</xm:f>
              </x14:cfvo>
              <x14:cfIcon iconSet="3Arrows" iconId="0"/>
              <x14:cfIcon iconSet="3Triangles" iconId="1"/>
              <x14:cfIcon iconSet="3Arrows" iconId="2"/>
            </x14:iconSet>
          </x14:cfRule>
          <x14:cfRule type="iconSet" priority="162" id="{4D9E4C06-8373-4810-B53B-BFB42E4AEAD7}">
            <x14:iconSet iconSet="3Arrows" custom="1">
              <x14:cfvo type="percent">
                <xm:f>0</xm:f>
              </x14:cfvo>
              <x14:cfvo type="percent">
                <xm:f>0</xm:f>
              </x14:cfvo>
              <x14:cfvo type="percent">
                <xm:f>0</xm:f>
              </x14:cfvo>
              <x14:cfIcon iconSet="3Arrows" iconId="0"/>
              <x14:cfIcon iconSet="NoIcons" iconId="0"/>
              <x14:cfIcon iconSet="3Arrows" iconId="2"/>
            </x14:iconSet>
          </x14:cfRule>
          <xm:sqref>G273:G276</xm:sqref>
        </x14:conditionalFormatting>
        <x14:conditionalFormatting xmlns:xm="http://schemas.microsoft.com/office/excel/2006/main">
          <x14:cfRule type="iconSet" priority="485" id="{4FE2ADB0-419D-0644-AAC6-BD012515E984}">
            <x14:iconSet custom="1">
              <x14:cfvo type="percent">
                <xm:f>0</xm:f>
              </x14:cfvo>
              <x14:cfvo type="num">
                <xm:f>0</xm:f>
              </x14:cfvo>
              <x14:cfvo type="num">
                <xm:f>1</xm:f>
              </x14:cfvo>
              <x14:cfIcon iconSet="3Arrows" iconId="0"/>
              <x14:cfIcon iconSet="NoIcons" iconId="0"/>
              <x14:cfIcon iconSet="3Arrows" iconId="2"/>
            </x14:iconSet>
          </x14:cfRule>
          <x14:cfRule type="iconSet" priority="486" id="{D453F0C9-3195-C744-AA05-726471678CE4}">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487" id="{35E53773-8D9C-BF4A-A258-2E4449FA60CF}">
            <x14:iconSet custom="1">
              <x14:cfvo type="percent">
                <xm:f>0</xm:f>
              </x14:cfvo>
              <x14:cfvo type="num">
                <xm:f>0</xm:f>
              </x14:cfvo>
              <x14:cfvo type="num" gte="0">
                <xm:f>5</xm:f>
              </x14:cfvo>
              <x14:cfIcon iconSet="3Arrows" iconId="0"/>
              <x14:cfIcon iconSet="3Triangles" iconId="1"/>
              <x14:cfIcon iconSet="3Arrows" iconId="2"/>
            </x14:iconSet>
          </x14:cfRule>
          <x14:cfRule type="iconSet" priority="490" id="{F5997EE1-AF65-8A4F-AAF4-FA7AE89923D3}">
            <x14:iconSet iconSet="3Arrows" custom="1">
              <x14:cfvo type="percent">
                <xm:f>0</xm:f>
              </x14:cfvo>
              <x14:cfvo type="percent">
                <xm:f>0</xm:f>
              </x14:cfvo>
              <x14:cfvo type="percent">
                <xm:f>0</xm:f>
              </x14:cfvo>
              <x14:cfIcon iconSet="3Arrows" iconId="0"/>
              <x14:cfIcon iconSet="NoIcons" iconId="0"/>
              <x14:cfIcon iconSet="3Arrows" iconId="2"/>
            </x14:iconSet>
          </x14:cfRule>
          <xm:sqref>G284:G290</xm:sqref>
        </x14:conditionalFormatting>
        <x14:conditionalFormatting xmlns:xm="http://schemas.microsoft.com/office/excel/2006/main">
          <x14:cfRule type="iconSet" priority="1205" id="{CDCD5D87-BE05-4D64-80E6-0260DC91FA3F}">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200" id="{E1E2D81D-2D1B-45B5-A980-CF1B027A9BCA}">
            <x14:iconSet custom="1">
              <x14:cfvo type="percent">
                <xm:f>0</xm:f>
              </x14:cfvo>
              <x14:cfvo type="num">
                <xm:f>0</xm:f>
              </x14:cfvo>
              <x14:cfvo type="num">
                <xm:f>1</xm:f>
              </x14:cfvo>
              <x14:cfIcon iconSet="3Arrows" iconId="0"/>
              <x14:cfIcon iconSet="NoIcons" iconId="0"/>
              <x14:cfIcon iconSet="3Arrows" iconId="2"/>
            </x14:iconSet>
          </x14:cfRule>
          <x14:cfRule type="iconSet" priority="1202" id="{F1DB5CA8-EF7D-4007-B5E4-58F2B9A98250}">
            <x14:iconSet custom="1">
              <x14:cfvo type="percent">
                <xm:f>0</xm:f>
              </x14:cfvo>
              <x14:cfvo type="num">
                <xm:f>0</xm:f>
              </x14:cfvo>
              <x14:cfvo type="num" gte="0">
                <xm:f>5</xm:f>
              </x14:cfvo>
              <x14:cfIcon iconSet="3Arrows" iconId="0"/>
              <x14:cfIcon iconSet="3Triangles" iconId="1"/>
              <x14:cfIcon iconSet="3Arrows" iconId="2"/>
            </x14:iconSet>
          </x14:cfRule>
          <x14:cfRule type="iconSet" priority="1201" id="{B666DE9D-E832-44F8-AED5-15D57EB4C40D}">
            <x14:iconSet showValue="0" custom="1">
              <x14:cfvo type="percent">
                <xm:f>0</xm:f>
              </x14:cfvo>
              <x14:cfvo type="num">
                <xm:f>0</xm:f>
              </x14:cfvo>
              <x14:cfvo type="num">
                <xm:f>1</xm:f>
              </x14:cfvo>
              <x14:cfIcon iconSet="3Arrows" iconId="0"/>
              <x14:cfIcon iconSet="NoIcons" iconId="0"/>
              <x14:cfIcon iconSet="3Arrows" iconId="2"/>
            </x14:iconSet>
          </x14:cfRule>
          <xm:sqref>G285:G290</xm:sqref>
        </x14:conditionalFormatting>
        <x14:conditionalFormatting xmlns:xm="http://schemas.microsoft.com/office/excel/2006/main">
          <x14:cfRule type="iconSet" priority="135" id="{24F4E5B4-5C24-4255-8025-A72E6D7113BB}">
            <x14:iconSet custom="1">
              <x14:cfvo type="percent">
                <xm:f>0</xm:f>
              </x14:cfvo>
              <x14:cfvo type="num">
                <xm:f>0</xm:f>
              </x14:cfvo>
              <x14:cfvo type="num">
                <xm:f>1</xm:f>
              </x14:cfvo>
              <x14:cfIcon iconSet="3Arrows" iconId="0"/>
              <x14:cfIcon iconSet="NoIcons" iconId="0"/>
              <x14:cfIcon iconSet="3Arrows" iconId="2"/>
            </x14:iconSet>
          </x14:cfRule>
          <x14:cfRule type="iconSet" priority="140" id="{198502F1-05B3-4438-BF13-85999BEBEB36}">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37" id="{C49D2E85-22A1-453D-AF16-12753012015E}">
            <x14:iconSet custom="1">
              <x14:cfvo type="percent">
                <xm:f>0</xm:f>
              </x14:cfvo>
              <x14:cfvo type="num">
                <xm:f>0</xm:f>
              </x14:cfvo>
              <x14:cfvo type="num" gte="0">
                <xm:f>5</xm:f>
              </x14:cfvo>
              <x14:cfIcon iconSet="3Arrows" iconId="0"/>
              <x14:cfIcon iconSet="3Triangles" iconId="1"/>
              <x14:cfIcon iconSet="3Arrows" iconId="2"/>
            </x14:iconSet>
          </x14:cfRule>
          <x14:cfRule type="iconSet" priority="136" id="{9D5B227C-F517-473C-9E23-FC6ECB7E1021}">
            <x14:iconSet showValue="0" custom="1">
              <x14:cfvo type="percent">
                <xm:f>0</xm:f>
              </x14:cfvo>
              <x14:cfvo type="num">
                <xm:f>0</xm:f>
              </x14:cfvo>
              <x14:cfvo type="num">
                <xm:f>1</xm:f>
              </x14:cfvo>
              <x14:cfIcon iconSet="3Arrows" iconId="0"/>
              <x14:cfIcon iconSet="NoIcons" iconId="0"/>
              <x14:cfIcon iconSet="3Arrows" iconId="2"/>
            </x14:iconSet>
          </x14:cfRule>
          <xm:sqref>G293:G296</xm:sqref>
        </x14:conditionalFormatting>
        <x14:conditionalFormatting xmlns:xm="http://schemas.microsoft.com/office/excel/2006/main">
          <x14:cfRule type="iconSet" priority="477" id="{99C5211E-5104-BA48-B403-DBFD4CCF9EC9}">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481" id="{8FC19CEE-CA28-094D-84AB-50E85FD3636E}">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476" id="{CD282ED5-B4CB-8341-83BB-656411B8AD9F}">
            <x14:iconSet custom="1">
              <x14:cfvo type="percent">
                <xm:f>0</xm:f>
              </x14:cfvo>
              <x14:cfvo type="num">
                <xm:f>0</xm:f>
              </x14:cfvo>
              <x14:cfvo type="num">
                <xm:f>1</xm:f>
              </x14:cfvo>
              <x14:cfIcon iconSet="3Arrows" iconId="0"/>
              <x14:cfIcon iconSet="NoIcons" iconId="0"/>
              <x14:cfIcon iconSet="3Arrows" iconId="2"/>
            </x14:iconSet>
          </x14:cfRule>
          <x14:cfRule type="iconSet" priority="478" id="{791EDC3C-E3FC-4D45-A87D-D9A10C08C8E4}">
            <x14:iconSet custom="1">
              <x14:cfvo type="percent">
                <xm:f>0</xm:f>
              </x14:cfvo>
              <x14:cfvo type="num">
                <xm:f>0</xm:f>
              </x14:cfvo>
              <x14:cfvo type="num" gte="0">
                <xm:f>5</xm:f>
              </x14:cfvo>
              <x14:cfIcon iconSet="3Arrows" iconId="0"/>
              <x14:cfIcon iconSet="3Triangles" iconId="1"/>
              <x14:cfIcon iconSet="3Arrows" iconId="2"/>
            </x14:iconSet>
          </x14:cfRule>
          <xm:sqref>G304:G310</xm:sqref>
        </x14:conditionalFormatting>
        <x14:conditionalFormatting xmlns:xm="http://schemas.microsoft.com/office/excel/2006/main">
          <x14:cfRule type="iconSet" priority="1189" id="{A71EF513-C556-4330-BB71-13A10A07DE10}">
            <x14:iconSet custom="1">
              <x14:cfvo type="percent">
                <xm:f>0</xm:f>
              </x14:cfvo>
              <x14:cfvo type="num">
                <xm:f>0</xm:f>
              </x14:cfvo>
              <x14:cfvo type="num">
                <xm:f>1</xm:f>
              </x14:cfvo>
              <x14:cfIcon iconSet="3Arrows" iconId="0"/>
              <x14:cfIcon iconSet="NoIcons" iconId="0"/>
              <x14:cfIcon iconSet="3Arrows" iconId="2"/>
            </x14:iconSet>
          </x14:cfRule>
          <x14:cfRule type="iconSet" priority="1190" id="{60E6BD54-6A14-49B2-8151-0E95B7CA047D}">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194" id="{F84AF107-003E-45F2-AB95-F4752B516D3A}">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191" id="{5843DE9D-3D1C-4197-B7D8-4355D880520F}">
            <x14:iconSet custom="1">
              <x14:cfvo type="percent">
                <xm:f>0</xm:f>
              </x14:cfvo>
              <x14:cfvo type="num">
                <xm:f>0</xm:f>
              </x14:cfvo>
              <x14:cfvo type="num" gte="0">
                <xm:f>5</xm:f>
              </x14:cfvo>
              <x14:cfIcon iconSet="3Arrows" iconId="0"/>
              <x14:cfIcon iconSet="3Triangles" iconId="1"/>
              <x14:cfIcon iconSet="3Arrows" iconId="2"/>
            </x14:iconSet>
          </x14:cfRule>
          <xm:sqref>G305:G310</xm:sqref>
        </x14:conditionalFormatting>
        <x14:conditionalFormatting xmlns:xm="http://schemas.microsoft.com/office/excel/2006/main">
          <x14:cfRule type="iconSet" priority="118" id="{010F2FDA-DCF1-46E7-ADFF-2C25FC693B7E}">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14" id="{98CDE906-8F5B-479F-B09D-E984D9C774BB}">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13" id="{1EAFC988-EE24-45CC-93DD-209D8A99E67B}">
            <x14:iconSet custom="1">
              <x14:cfvo type="percent">
                <xm:f>0</xm:f>
              </x14:cfvo>
              <x14:cfvo type="num">
                <xm:f>0</xm:f>
              </x14:cfvo>
              <x14:cfvo type="num">
                <xm:f>1</xm:f>
              </x14:cfvo>
              <x14:cfIcon iconSet="3Arrows" iconId="0"/>
              <x14:cfIcon iconSet="NoIcons" iconId="0"/>
              <x14:cfIcon iconSet="3Arrows" iconId="2"/>
            </x14:iconSet>
          </x14:cfRule>
          <x14:cfRule type="iconSet" priority="115" id="{980DB1AF-BD12-4EA8-B83A-74FED9AC1880}">
            <x14:iconSet custom="1">
              <x14:cfvo type="percent">
                <xm:f>0</xm:f>
              </x14:cfvo>
              <x14:cfvo type="num">
                <xm:f>0</xm:f>
              </x14:cfvo>
              <x14:cfvo type="num" gte="0">
                <xm:f>5</xm:f>
              </x14:cfvo>
              <x14:cfIcon iconSet="3Arrows" iconId="0"/>
              <x14:cfIcon iconSet="3Triangles" iconId="1"/>
              <x14:cfIcon iconSet="3Arrows" iconId="2"/>
            </x14:iconSet>
          </x14:cfRule>
          <xm:sqref>G313:G316</xm:sqref>
        </x14:conditionalFormatting>
        <x14:conditionalFormatting xmlns:xm="http://schemas.microsoft.com/office/excel/2006/main">
          <x14:cfRule type="iconSet" priority="468" id="{56CB9E6A-21D3-8843-B543-C7287AFF1B84}">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467" id="{88109C9E-F957-784D-B940-748FE60ECD42}">
            <x14:iconSet custom="1">
              <x14:cfvo type="percent">
                <xm:f>0</xm:f>
              </x14:cfvo>
              <x14:cfvo type="num">
                <xm:f>0</xm:f>
              </x14:cfvo>
              <x14:cfvo type="num">
                <xm:f>1</xm:f>
              </x14:cfvo>
              <x14:cfIcon iconSet="3Arrows" iconId="0"/>
              <x14:cfIcon iconSet="NoIcons" iconId="0"/>
              <x14:cfIcon iconSet="3Arrows" iconId="2"/>
            </x14:iconSet>
          </x14:cfRule>
          <x14:cfRule type="iconSet" priority="469" id="{C79B575A-9805-1048-807D-C852EDBD7B22}">
            <x14:iconSet custom="1">
              <x14:cfvo type="percent">
                <xm:f>0</xm:f>
              </x14:cfvo>
              <x14:cfvo type="num">
                <xm:f>0</xm:f>
              </x14:cfvo>
              <x14:cfvo type="num" gte="0">
                <xm:f>5</xm:f>
              </x14:cfvo>
              <x14:cfIcon iconSet="3Arrows" iconId="0"/>
              <x14:cfIcon iconSet="3Triangles" iconId="1"/>
              <x14:cfIcon iconSet="3Arrows" iconId="2"/>
            </x14:iconSet>
          </x14:cfRule>
          <x14:cfRule type="iconSet" priority="472" id="{CE360C24-4CBF-574B-9F0F-B2656C6B7D20}">
            <x14:iconSet iconSet="3Arrows" custom="1">
              <x14:cfvo type="percent">
                <xm:f>0</xm:f>
              </x14:cfvo>
              <x14:cfvo type="percent">
                <xm:f>0</xm:f>
              </x14:cfvo>
              <x14:cfvo type="percent">
                <xm:f>0</xm:f>
              </x14:cfvo>
              <x14:cfIcon iconSet="3Arrows" iconId="0"/>
              <x14:cfIcon iconSet="NoIcons" iconId="0"/>
              <x14:cfIcon iconSet="3Arrows" iconId="2"/>
            </x14:iconSet>
          </x14:cfRule>
          <xm:sqref>G325:G331</xm:sqref>
        </x14:conditionalFormatting>
        <x14:conditionalFormatting xmlns:xm="http://schemas.microsoft.com/office/excel/2006/main">
          <x14:cfRule type="iconSet" priority="1177" id="{629DF678-845F-434D-9F25-A56DFE901EA5}">
            <x14:iconSet custom="1">
              <x14:cfvo type="percent">
                <xm:f>0</xm:f>
              </x14:cfvo>
              <x14:cfvo type="num">
                <xm:f>0</xm:f>
              </x14:cfvo>
              <x14:cfvo type="num">
                <xm:f>1</xm:f>
              </x14:cfvo>
              <x14:cfIcon iconSet="3Arrows" iconId="0"/>
              <x14:cfIcon iconSet="NoIcons" iconId="0"/>
              <x14:cfIcon iconSet="3Arrows" iconId="2"/>
            </x14:iconSet>
          </x14:cfRule>
          <x14:cfRule type="iconSet" priority="1179" id="{D36AC29B-F0F3-451F-ABF8-D5323ED2B263}">
            <x14:iconSet custom="1">
              <x14:cfvo type="percent">
                <xm:f>0</xm:f>
              </x14:cfvo>
              <x14:cfvo type="num">
                <xm:f>0</xm:f>
              </x14:cfvo>
              <x14:cfvo type="num" gte="0">
                <xm:f>5</xm:f>
              </x14:cfvo>
              <x14:cfIcon iconSet="3Arrows" iconId="0"/>
              <x14:cfIcon iconSet="3Triangles" iconId="1"/>
              <x14:cfIcon iconSet="3Arrows" iconId="2"/>
            </x14:iconSet>
          </x14:cfRule>
          <x14:cfRule type="iconSet" priority="1182" id="{F7BF2586-A435-4F44-86B1-7121FD7FDE8B}">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178" id="{2D9BD019-2DA8-40F1-AFAB-D70629FCBBAD}">
            <x14:iconSet showValue="0" custom="1">
              <x14:cfvo type="percent">
                <xm:f>0</xm:f>
              </x14:cfvo>
              <x14:cfvo type="num">
                <xm:f>0</xm:f>
              </x14:cfvo>
              <x14:cfvo type="num">
                <xm:f>1</xm:f>
              </x14:cfvo>
              <x14:cfIcon iconSet="3Arrows" iconId="0"/>
              <x14:cfIcon iconSet="NoIcons" iconId="0"/>
              <x14:cfIcon iconSet="3Arrows" iconId="2"/>
            </x14:iconSet>
          </x14:cfRule>
          <xm:sqref>G326:G331</xm:sqref>
        </x14:conditionalFormatting>
        <x14:conditionalFormatting xmlns:xm="http://schemas.microsoft.com/office/excel/2006/main">
          <x14:cfRule type="iconSet" priority="93" id="{12B9510C-C1FB-4E9F-8D04-15CE425D78A2}">
            <x14:iconSet custom="1">
              <x14:cfvo type="percent">
                <xm:f>0</xm:f>
              </x14:cfvo>
              <x14:cfvo type="num">
                <xm:f>0</xm:f>
              </x14:cfvo>
              <x14:cfvo type="num" gte="0">
                <xm:f>5</xm:f>
              </x14:cfvo>
              <x14:cfIcon iconSet="3Arrows" iconId="0"/>
              <x14:cfIcon iconSet="3Triangles" iconId="1"/>
              <x14:cfIcon iconSet="3Arrows" iconId="2"/>
            </x14:iconSet>
          </x14:cfRule>
          <x14:cfRule type="iconSet" priority="91" id="{6243AF5C-16D2-4633-B1F0-1AC13FD2CC89}">
            <x14:iconSet custom="1">
              <x14:cfvo type="percent">
                <xm:f>0</xm:f>
              </x14:cfvo>
              <x14:cfvo type="num">
                <xm:f>0</xm:f>
              </x14:cfvo>
              <x14:cfvo type="num">
                <xm:f>1</xm:f>
              </x14:cfvo>
              <x14:cfIcon iconSet="3Arrows" iconId="0"/>
              <x14:cfIcon iconSet="NoIcons" iconId="0"/>
              <x14:cfIcon iconSet="3Arrows" iconId="2"/>
            </x14:iconSet>
          </x14:cfRule>
          <x14:cfRule type="iconSet" priority="96" id="{7ED62479-7DE4-4B33-BF14-06B3DDD0F0FD}">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92" id="{0EFBB92F-A46F-4A69-95EA-8A97BFCF8D95}">
            <x14:iconSet showValue="0" custom="1">
              <x14:cfvo type="percent">
                <xm:f>0</xm:f>
              </x14:cfvo>
              <x14:cfvo type="num">
                <xm:f>0</xm:f>
              </x14:cfvo>
              <x14:cfvo type="num">
                <xm:f>1</xm:f>
              </x14:cfvo>
              <x14:cfIcon iconSet="3Arrows" iconId="0"/>
              <x14:cfIcon iconSet="NoIcons" iconId="0"/>
              <x14:cfIcon iconSet="3Arrows" iconId="2"/>
            </x14:iconSet>
          </x14:cfRule>
          <xm:sqref>G334:G337</xm:sqref>
        </x14:conditionalFormatting>
        <x14:conditionalFormatting xmlns:xm="http://schemas.microsoft.com/office/excel/2006/main">
          <x14:cfRule type="iconSet" priority="458" id="{B493715F-33CA-614E-9B24-02173D1C3E59}">
            <x14:iconSet custom="1">
              <x14:cfvo type="percent">
                <xm:f>0</xm:f>
              </x14:cfvo>
              <x14:cfvo type="num">
                <xm:f>0</xm:f>
              </x14:cfvo>
              <x14:cfvo type="num">
                <xm:f>1</xm:f>
              </x14:cfvo>
              <x14:cfIcon iconSet="3Arrows" iconId="0"/>
              <x14:cfIcon iconSet="NoIcons" iconId="0"/>
              <x14:cfIcon iconSet="3Arrows" iconId="2"/>
            </x14:iconSet>
          </x14:cfRule>
          <x14:cfRule type="iconSet" priority="463" id="{1F91CF0F-7695-3E43-AF1D-95B1088D982F}">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460" id="{CB25DFDD-AA08-1A4B-9F03-7AE13172E9B9}">
            <x14:iconSet custom="1">
              <x14:cfvo type="percent">
                <xm:f>0</xm:f>
              </x14:cfvo>
              <x14:cfvo type="num">
                <xm:f>0</xm:f>
              </x14:cfvo>
              <x14:cfvo type="num" gte="0">
                <xm:f>5</xm:f>
              </x14:cfvo>
              <x14:cfIcon iconSet="3Arrows" iconId="0"/>
              <x14:cfIcon iconSet="3Triangles" iconId="1"/>
              <x14:cfIcon iconSet="3Arrows" iconId="2"/>
            </x14:iconSet>
          </x14:cfRule>
          <x14:cfRule type="iconSet" priority="459" id="{65E53BF9-57AF-2446-8BD0-AFD0F5A71A3A}">
            <x14:iconSet showValue="0" custom="1">
              <x14:cfvo type="percent">
                <xm:f>0</xm:f>
              </x14:cfvo>
              <x14:cfvo type="num">
                <xm:f>0</xm:f>
              </x14:cfvo>
              <x14:cfvo type="num">
                <xm:f>1</xm:f>
              </x14:cfvo>
              <x14:cfIcon iconSet="3Arrows" iconId="0"/>
              <x14:cfIcon iconSet="NoIcons" iconId="0"/>
              <x14:cfIcon iconSet="3Arrows" iconId="2"/>
            </x14:iconSet>
          </x14:cfRule>
          <xm:sqref>G345:G351</xm:sqref>
        </x14:conditionalFormatting>
        <x14:conditionalFormatting xmlns:xm="http://schemas.microsoft.com/office/excel/2006/main">
          <x14:cfRule type="iconSet" priority="1165" id="{4BFBF2CE-AD52-47A6-BAC9-11A0127D7F0C}">
            <x14:iconSet custom="1">
              <x14:cfvo type="percent">
                <xm:f>0</xm:f>
              </x14:cfvo>
              <x14:cfvo type="num">
                <xm:f>0</xm:f>
              </x14:cfvo>
              <x14:cfvo type="num" gte="0">
                <xm:f>5</xm:f>
              </x14:cfvo>
              <x14:cfIcon iconSet="3Arrows" iconId="0"/>
              <x14:cfIcon iconSet="3Triangles" iconId="1"/>
              <x14:cfIcon iconSet="3Arrows" iconId="2"/>
            </x14:iconSet>
          </x14:cfRule>
          <x14:cfRule type="iconSet" priority="1168" id="{12E43FC6-2A85-4190-93CB-75ED2F75F0A9}">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163" id="{6D13BD63-E484-4FDD-B49D-87732A51AFAE}">
            <x14:iconSet custom="1">
              <x14:cfvo type="percent">
                <xm:f>0</xm:f>
              </x14:cfvo>
              <x14:cfvo type="num">
                <xm:f>0</xm:f>
              </x14:cfvo>
              <x14:cfvo type="num">
                <xm:f>1</xm:f>
              </x14:cfvo>
              <x14:cfIcon iconSet="3Arrows" iconId="0"/>
              <x14:cfIcon iconSet="NoIcons" iconId="0"/>
              <x14:cfIcon iconSet="3Arrows" iconId="2"/>
            </x14:iconSet>
          </x14:cfRule>
          <x14:cfRule type="iconSet" priority="1164" id="{91546D03-BCB3-421D-87C9-DA856A543E3F}">
            <x14:iconSet showValue="0" custom="1">
              <x14:cfvo type="percent">
                <xm:f>0</xm:f>
              </x14:cfvo>
              <x14:cfvo type="num">
                <xm:f>0</xm:f>
              </x14:cfvo>
              <x14:cfvo type="num">
                <xm:f>1</xm:f>
              </x14:cfvo>
              <x14:cfIcon iconSet="3Arrows" iconId="0"/>
              <x14:cfIcon iconSet="NoIcons" iconId="0"/>
              <x14:cfIcon iconSet="3Arrows" iconId="2"/>
            </x14:iconSet>
          </x14:cfRule>
          <xm:sqref>G346:G351</xm:sqref>
        </x14:conditionalFormatting>
        <x14:conditionalFormatting xmlns:xm="http://schemas.microsoft.com/office/excel/2006/main">
          <x14:cfRule type="iconSet" priority="71" id="{5A7B3E33-1777-45D4-868D-34682F6625B5}">
            <x14:iconSet custom="1">
              <x14:cfvo type="percent">
                <xm:f>0</xm:f>
              </x14:cfvo>
              <x14:cfvo type="num">
                <xm:f>0</xm:f>
              </x14:cfvo>
              <x14:cfvo type="num" gte="0">
                <xm:f>5</xm:f>
              </x14:cfvo>
              <x14:cfIcon iconSet="3Arrows" iconId="0"/>
              <x14:cfIcon iconSet="3Triangles" iconId="1"/>
              <x14:cfIcon iconSet="3Arrows" iconId="2"/>
            </x14:iconSet>
          </x14:cfRule>
          <x14:cfRule type="iconSet" priority="70" id="{20FAD274-8AD2-4225-8B22-5F3DAB5BA440}">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69" id="{5BB65D18-0021-4385-978C-69F889B7FA1A}">
            <x14:iconSet custom="1">
              <x14:cfvo type="percent">
                <xm:f>0</xm:f>
              </x14:cfvo>
              <x14:cfvo type="num">
                <xm:f>0</xm:f>
              </x14:cfvo>
              <x14:cfvo type="num">
                <xm:f>1</xm:f>
              </x14:cfvo>
              <x14:cfIcon iconSet="3Arrows" iconId="0"/>
              <x14:cfIcon iconSet="NoIcons" iconId="0"/>
              <x14:cfIcon iconSet="3Arrows" iconId="2"/>
            </x14:iconSet>
          </x14:cfRule>
          <x14:cfRule type="iconSet" priority="74" id="{C8283D75-2D3F-43D7-B3A7-C86FC78AADBC}">
            <x14:iconSet iconSet="3Arrows" custom="1">
              <x14:cfvo type="percent">
                <xm:f>0</xm:f>
              </x14:cfvo>
              <x14:cfvo type="percent">
                <xm:f>0</xm:f>
              </x14:cfvo>
              <x14:cfvo type="percent">
                <xm:f>0</xm:f>
              </x14:cfvo>
              <x14:cfIcon iconSet="3Arrows" iconId="0"/>
              <x14:cfIcon iconSet="NoIcons" iconId="0"/>
              <x14:cfIcon iconSet="3Arrows" iconId="2"/>
            </x14:iconSet>
          </x14:cfRule>
          <xm:sqref>G354:G357</xm:sqref>
        </x14:conditionalFormatting>
        <x14:conditionalFormatting xmlns:xm="http://schemas.microsoft.com/office/excel/2006/main">
          <x14:cfRule type="iconSet" priority="454" id="{D2F98C95-8A3A-A549-A992-801688E1D556}">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451" id="{A011FA18-D9C0-6847-84F1-C0C69E220E34}">
            <x14:iconSet custom="1">
              <x14:cfvo type="percent">
                <xm:f>0</xm:f>
              </x14:cfvo>
              <x14:cfvo type="num">
                <xm:f>0</xm:f>
              </x14:cfvo>
              <x14:cfvo type="num" gte="0">
                <xm:f>5</xm:f>
              </x14:cfvo>
              <x14:cfIcon iconSet="3Arrows" iconId="0"/>
              <x14:cfIcon iconSet="3Triangles" iconId="1"/>
              <x14:cfIcon iconSet="3Arrows" iconId="2"/>
            </x14:iconSet>
          </x14:cfRule>
          <x14:cfRule type="iconSet" priority="450" id="{29500B94-6309-624A-AD66-98695EA91CF1}">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449" id="{91662EBF-8BFB-BC4C-B2EF-828C33E70D28}">
            <x14:iconSet custom="1">
              <x14:cfvo type="percent">
                <xm:f>0</xm:f>
              </x14:cfvo>
              <x14:cfvo type="num">
                <xm:f>0</xm:f>
              </x14:cfvo>
              <x14:cfvo type="num">
                <xm:f>1</xm:f>
              </x14:cfvo>
              <x14:cfIcon iconSet="3Arrows" iconId="0"/>
              <x14:cfIcon iconSet="NoIcons" iconId="0"/>
              <x14:cfIcon iconSet="3Arrows" iconId="2"/>
            </x14:iconSet>
          </x14:cfRule>
          <xm:sqref>G365:G371</xm:sqref>
        </x14:conditionalFormatting>
        <x14:conditionalFormatting xmlns:xm="http://schemas.microsoft.com/office/excel/2006/main">
          <x14:cfRule type="iconSet" priority="1149" id="{4435DCB9-EBEF-44AB-B52D-B7FAED47EA3B}">
            <x14:iconSet custom="1">
              <x14:cfvo type="percent">
                <xm:f>0</xm:f>
              </x14:cfvo>
              <x14:cfvo type="num">
                <xm:f>0</xm:f>
              </x14:cfvo>
              <x14:cfvo type="num">
                <xm:f>1</xm:f>
              </x14:cfvo>
              <x14:cfIcon iconSet="3Arrows" iconId="0"/>
              <x14:cfIcon iconSet="NoIcons" iconId="0"/>
              <x14:cfIcon iconSet="3Arrows" iconId="2"/>
            </x14:iconSet>
          </x14:cfRule>
          <x14:cfRule type="iconSet" priority="1154" id="{29B19AA9-C89C-440A-957A-913F242C7AF9}">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151" id="{9DD69824-365C-443F-891A-0699F55FE3CC}">
            <x14:iconSet custom="1">
              <x14:cfvo type="percent">
                <xm:f>0</xm:f>
              </x14:cfvo>
              <x14:cfvo type="num">
                <xm:f>0</xm:f>
              </x14:cfvo>
              <x14:cfvo type="num" gte="0">
                <xm:f>5</xm:f>
              </x14:cfvo>
              <x14:cfIcon iconSet="3Arrows" iconId="0"/>
              <x14:cfIcon iconSet="3Triangles" iconId="1"/>
              <x14:cfIcon iconSet="3Arrows" iconId="2"/>
            </x14:iconSet>
          </x14:cfRule>
          <x14:cfRule type="iconSet" priority="1150" id="{18D42E7E-1B14-426B-9F86-520A92BE6057}">
            <x14:iconSet showValue="0" custom="1">
              <x14:cfvo type="percent">
                <xm:f>0</xm:f>
              </x14:cfvo>
              <x14:cfvo type="num">
                <xm:f>0</xm:f>
              </x14:cfvo>
              <x14:cfvo type="num">
                <xm:f>1</xm:f>
              </x14:cfvo>
              <x14:cfIcon iconSet="3Arrows" iconId="0"/>
              <x14:cfIcon iconSet="NoIcons" iconId="0"/>
              <x14:cfIcon iconSet="3Arrows" iconId="2"/>
            </x14:iconSet>
          </x14:cfRule>
          <xm:sqref>G366:G371</xm:sqref>
        </x14:conditionalFormatting>
        <x14:conditionalFormatting xmlns:xm="http://schemas.microsoft.com/office/excel/2006/main">
          <x14:cfRule type="iconSet" priority="47" id="{814D9AEA-20AF-4A3E-923E-23EEDBC036F4}">
            <x14:iconSet custom="1">
              <x14:cfvo type="percent">
                <xm:f>0</xm:f>
              </x14:cfvo>
              <x14:cfvo type="num">
                <xm:f>0</xm:f>
              </x14:cfvo>
              <x14:cfvo type="num">
                <xm:f>1</xm:f>
              </x14:cfvo>
              <x14:cfIcon iconSet="3Arrows" iconId="0"/>
              <x14:cfIcon iconSet="NoIcons" iconId="0"/>
              <x14:cfIcon iconSet="3Arrows" iconId="2"/>
            </x14:iconSet>
          </x14:cfRule>
          <x14:cfRule type="iconSet" priority="48" id="{E924423D-86E1-4C92-BE93-F20D059B702E}">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2" id="{2E8C5515-884A-4193-B5B0-187B263E10DD}">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49" id="{2A3ACDC3-0B33-438D-BAF5-A562815B4045}">
            <x14:iconSet custom="1">
              <x14:cfvo type="percent">
                <xm:f>0</xm:f>
              </x14:cfvo>
              <x14:cfvo type="num">
                <xm:f>0</xm:f>
              </x14:cfvo>
              <x14:cfvo type="num" gte="0">
                <xm:f>5</xm:f>
              </x14:cfvo>
              <x14:cfIcon iconSet="3Arrows" iconId="0"/>
              <x14:cfIcon iconSet="3Triangles" iconId="1"/>
              <x14:cfIcon iconSet="3Arrows" iconId="2"/>
            </x14:iconSet>
          </x14:cfRule>
          <xm:sqref>G374:G377</xm:sqref>
        </x14:conditionalFormatting>
        <x14:conditionalFormatting xmlns:xm="http://schemas.microsoft.com/office/excel/2006/main">
          <x14:cfRule type="iconSet" priority="441" id="{25E1B1F1-4050-C846-BBA8-01C8BC7CABC3}">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445" id="{24F4593C-99C5-BB42-82E7-47FF3CB4FB9D}">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442" id="{3CAD435D-E559-3140-BDA5-59BA4EBD03D9}">
            <x14:iconSet custom="1">
              <x14:cfvo type="percent">
                <xm:f>0</xm:f>
              </x14:cfvo>
              <x14:cfvo type="num">
                <xm:f>0</xm:f>
              </x14:cfvo>
              <x14:cfvo type="num" gte="0">
                <xm:f>5</xm:f>
              </x14:cfvo>
              <x14:cfIcon iconSet="3Arrows" iconId="0"/>
              <x14:cfIcon iconSet="3Triangles" iconId="1"/>
              <x14:cfIcon iconSet="3Arrows" iconId="2"/>
            </x14:iconSet>
          </x14:cfRule>
          <x14:cfRule type="iconSet" priority="440" id="{89AE382D-C316-D846-A47D-3630A7DCA997}">
            <x14:iconSet custom="1">
              <x14:cfvo type="percent">
                <xm:f>0</xm:f>
              </x14:cfvo>
              <x14:cfvo type="num">
                <xm:f>0</xm:f>
              </x14:cfvo>
              <x14:cfvo type="num">
                <xm:f>1</xm:f>
              </x14:cfvo>
              <x14:cfIcon iconSet="3Arrows" iconId="0"/>
              <x14:cfIcon iconSet="NoIcons" iconId="0"/>
              <x14:cfIcon iconSet="3Arrows" iconId="2"/>
            </x14:iconSet>
          </x14:cfRule>
          <xm:sqref>G385:G391</xm:sqref>
        </x14:conditionalFormatting>
        <x14:conditionalFormatting xmlns:xm="http://schemas.microsoft.com/office/excel/2006/main">
          <x14:cfRule type="iconSet" priority="1135" id="{17BD7220-F535-4549-8106-98D7A7F573B4}">
            <x14:iconSet custom="1">
              <x14:cfvo type="percent">
                <xm:f>0</xm:f>
              </x14:cfvo>
              <x14:cfvo type="num">
                <xm:f>0</xm:f>
              </x14:cfvo>
              <x14:cfvo type="num">
                <xm:f>1</xm:f>
              </x14:cfvo>
              <x14:cfIcon iconSet="3Arrows" iconId="0"/>
              <x14:cfIcon iconSet="NoIcons" iconId="0"/>
              <x14:cfIcon iconSet="3Arrows" iconId="2"/>
            </x14:iconSet>
          </x14:cfRule>
          <x14:cfRule type="iconSet" priority="1136" id="{39CA053C-C301-4583-AB3A-88E92B856ED1}">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140" id="{A0BE7110-3722-4592-995B-9D83AB1C4384}">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137" id="{AA098FEF-365D-4BE5-9216-9962128CFE71}">
            <x14:iconSet custom="1">
              <x14:cfvo type="percent">
                <xm:f>0</xm:f>
              </x14:cfvo>
              <x14:cfvo type="num">
                <xm:f>0</xm:f>
              </x14:cfvo>
              <x14:cfvo type="num" gte="0">
                <xm:f>5</xm:f>
              </x14:cfvo>
              <x14:cfIcon iconSet="3Arrows" iconId="0"/>
              <x14:cfIcon iconSet="3Triangles" iconId="1"/>
              <x14:cfIcon iconSet="3Arrows" iconId="2"/>
            </x14:iconSet>
          </x14:cfRule>
          <xm:sqref>G386:G391</xm:sqref>
        </x14:conditionalFormatting>
        <x14:conditionalFormatting xmlns:xm="http://schemas.microsoft.com/office/excel/2006/main">
          <x14:cfRule type="iconSet" priority="30" id="{513D76C1-9EEF-47ED-9629-02C0009D0930}">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27" id="{4148D3EB-D679-4FDC-BB50-DFF781919E3F}">
            <x14:iconSet custom="1">
              <x14:cfvo type="percent">
                <xm:f>0</xm:f>
              </x14:cfvo>
              <x14:cfvo type="num">
                <xm:f>0</xm:f>
              </x14:cfvo>
              <x14:cfvo type="num" gte="0">
                <xm:f>5</xm:f>
              </x14:cfvo>
              <x14:cfIcon iconSet="3Arrows" iconId="0"/>
              <x14:cfIcon iconSet="3Triangles" iconId="1"/>
              <x14:cfIcon iconSet="3Arrows" iconId="2"/>
            </x14:iconSet>
          </x14:cfRule>
          <x14:cfRule type="iconSet" priority="26" id="{8CFC6A98-3F5B-420E-B80F-AB173A0ADFF4}">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25" id="{57AF3768-BB28-40BB-98B6-F8F1A5323398}">
            <x14:iconSet custom="1">
              <x14:cfvo type="percent">
                <xm:f>0</xm:f>
              </x14:cfvo>
              <x14:cfvo type="num">
                <xm:f>0</xm:f>
              </x14:cfvo>
              <x14:cfvo type="num">
                <xm:f>1</xm:f>
              </x14:cfvo>
              <x14:cfIcon iconSet="3Arrows" iconId="0"/>
              <x14:cfIcon iconSet="NoIcons" iconId="0"/>
              <x14:cfIcon iconSet="3Arrows" iconId="2"/>
            </x14:iconSet>
          </x14:cfRule>
          <xm:sqref>G394:G397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9279F-47AC-4D39-99DA-024401AE1453}">
  <sheetPr codeName="Planilha11"/>
  <dimension ref="A1:AC37"/>
  <sheetViews>
    <sheetView zoomScale="60" zoomScaleNormal="60" workbookViewId="0">
      <pane ySplit="1" topLeftCell="A2" activePane="bottomLeft" state="frozen"/>
      <selection activeCell="AN69" sqref="AN69"/>
      <selection pane="bottomLeft" activeCell="I37" sqref="I37"/>
    </sheetView>
  </sheetViews>
  <sheetFormatPr defaultColWidth="8.77734375" defaultRowHeight="13.2" x14ac:dyDescent="0.25"/>
  <cols>
    <col min="1" max="1" width="19" bestFit="1" customWidth="1"/>
    <col min="2" max="2" width="54.21875" bestFit="1" customWidth="1"/>
    <col min="8" max="8" width="0" hidden="1"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44176.564709571758</v>
      </c>
      <c r="B2" s="1" t="s">
        <v>30</v>
      </c>
      <c r="C2" s="1">
        <v>3</v>
      </c>
      <c r="D2" s="1">
        <v>3</v>
      </c>
      <c r="E2" s="1">
        <v>2</v>
      </c>
      <c r="F2" s="1">
        <v>2</v>
      </c>
      <c r="G2" s="1">
        <v>3</v>
      </c>
      <c r="I2" s="1">
        <v>3</v>
      </c>
      <c r="J2" s="1">
        <v>3</v>
      </c>
      <c r="K2" s="1">
        <v>3</v>
      </c>
      <c r="L2" s="1">
        <v>3</v>
      </c>
      <c r="M2" s="1">
        <v>3</v>
      </c>
      <c r="N2" s="1">
        <v>5</v>
      </c>
      <c r="O2" s="1">
        <v>4</v>
      </c>
      <c r="P2" s="1">
        <v>3</v>
      </c>
      <c r="Q2" s="1">
        <v>5</v>
      </c>
      <c r="R2" s="1">
        <v>4</v>
      </c>
      <c r="S2" s="1">
        <v>2</v>
      </c>
      <c r="U2" s="1">
        <v>3</v>
      </c>
      <c r="V2" s="1">
        <v>5</v>
      </c>
      <c r="W2" s="1">
        <v>4</v>
      </c>
      <c r="X2" s="1">
        <v>2</v>
      </c>
      <c r="Y2" s="1">
        <v>4</v>
      </c>
      <c r="Z2" s="1">
        <v>4</v>
      </c>
      <c r="AA2" s="1">
        <v>4</v>
      </c>
      <c r="AB2" s="1">
        <v>4</v>
      </c>
    </row>
    <row r="3" spans="1:29" x14ac:dyDescent="0.25">
      <c r="A3" s="2">
        <v>44176.566579039354</v>
      </c>
      <c r="B3" s="1" t="s">
        <v>30</v>
      </c>
      <c r="C3" s="1">
        <v>5</v>
      </c>
      <c r="D3" s="1">
        <v>5</v>
      </c>
      <c r="E3" s="1">
        <v>5</v>
      </c>
      <c r="F3" s="1">
        <v>5</v>
      </c>
      <c r="G3" s="1">
        <v>5</v>
      </c>
      <c r="H3" s="1" t="s">
        <v>44</v>
      </c>
      <c r="I3" s="1">
        <v>5</v>
      </c>
      <c r="J3" s="1">
        <v>5</v>
      </c>
      <c r="K3" s="1">
        <v>4</v>
      </c>
      <c r="L3" s="1">
        <v>5</v>
      </c>
      <c r="M3" s="1">
        <v>5</v>
      </c>
      <c r="N3" s="1">
        <v>5</v>
      </c>
      <c r="O3" s="1">
        <v>5</v>
      </c>
      <c r="P3" s="1">
        <v>5</v>
      </c>
      <c r="Q3" s="1">
        <v>5</v>
      </c>
      <c r="R3" s="1">
        <v>5</v>
      </c>
      <c r="S3" s="1">
        <v>5</v>
      </c>
      <c r="U3" s="1">
        <v>4</v>
      </c>
      <c r="V3" s="1">
        <v>5</v>
      </c>
      <c r="W3" s="1">
        <v>5</v>
      </c>
      <c r="X3" s="1">
        <v>3</v>
      </c>
      <c r="Y3" s="1">
        <v>3</v>
      </c>
      <c r="Z3" s="1">
        <v>3</v>
      </c>
      <c r="AA3" s="1">
        <v>5</v>
      </c>
      <c r="AB3" s="1">
        <v>0</v>
      </c>
    </row>
    <row r="4" spans="1:29" x14ac:dyDescent="0.25">
      <c r="A4" s="2">
        <v>44274.489639699073</v>
      </c>
      <c r="B4" s="1" t="s">
        <v>30</v>
      </c>
      <c r="C4" s="1">
        <v>5</v>
      </c>
      <c r="D4" s="1">
        <v>5</v>
      </c>
      <c r="E4" s="1">
        <v>4</v>
      </c>
      <c r="F4" s="1">
        <v>5</v>
      </c>
      <c r="G4" s="1">
        <v>5</v>
      </c>
      <c r="I4" s="1">
        <v>5</v>
      </c>
      <c r="J4" s="1">
        <v>4</v>
      </c>
      <c r="K4" s="1">
        <v>4</v>
      </c>
      <c r="L4" s="1">
        <v>4</v>
      </c>
      <c r="M4" s="1">
        <v>4</v>
      </c>
      <c r="N4" s="1">
        <v>5</v>
      </c>
      <c r="O4" s="1">
        <v>5</v>
      </c>
      <c r="P4" s="1">
        <v>3</v>
      </c>
      <c r="Q4" s="1">
        <v>4</v>
      </c>
      <c r="R4" s="1">
        <v>3</v>
      </c>
      <c r="S4" s="1">
        <v>5</v>
      </c>
      <c r="U4" s="1">
        <v>3</v>
      </c>
      <c r="V4" s="1">
        <v>3</v>
      </c>
      <c r="W4" s="1">
        <v>5</v>
      </c>
      <c r="X4" s="1">
        <v>2</v>
      </c>
      <c r="Y4" s="1">
        <v>4</v>
      </c>
      <c r="Z4" s="1">
        <v>4</v>
      </c>
      <c r="AA4" s="1">
        <v>5</v>
      </c>
      <c r="AB4" s="1">
        <v>3</v>
      </c>
    </row>
    <row r="5" spans="1:29" x14ac:dyDescent="0.25">
      <c r="A5" s="3">
        <v>44293.270563831014</v>
      </c>
      <c r="B5" s="1" t="s">
        <v>30</v>
      </c>
      <c r="C5" s="1">
        <v>4</v>
      </c>
      <c r="D5" s="1">
        <v>4</v>
      </c>
      <c r="E5" s="1">
        <v>3</v>
      </c>
      <c r="F5" s="1">
        <v>3</v>
      </c>
      <c r="G5" s="1">
        <v>4</v>
      </c>
      <c r="H5" s="1"/>
      <c r="I5" s="1">
        <v>4</v>
      </c>
      <c r="J5" s="1">
        <v>4</v>
      </c>
      <c r="K5" s="1">
        <v>4</v>
      </c>
      <c r="L5" s="1">
        <v>5</v>
      </c>
      <c r="M5" s="1">
        <v>3</v>
      </c>
      <c r="N5" s="1">
        <v>5</v>
      </c>
      <c r="O5" s="1">
        <v>4</v>
      </c>
      <c r="P5" s="1">
        <v>3</v>
      </c>
      <c r="Q5" s="1">
        <v>4</v>
      </c>
      <c r="R5" s="1">
        <v>5</v>
      </c>
      <c r="S5" s="1">
        <v>4</v>
      </c>
      <c r="U5" s="1">
        <v>4</v>
      </c>
      <c r="V5" s="1">
        <v>5</v>
      </c>
      <c r="W5" s="1">
        <v>4</v>
      </c>
      <c r="X5" s="1">
        <v>4</v>
      </c>
      <c r="Y5" s="1">
        <v>4</v>
      </c>
      <c r="Z5" s="1">
        <v>4</v>
      </c>
      <c r="AA5" s="1">
        <v>5</v>
      </c>
      <c r="AB5" s="1">
        <v>0</v>
      </c>
    </row>
    <row r="8" spans="1:29" ht="15.75" customHeight="1" x14ac:dyDescent="0.25"/>
    <row r="9" spans="1:29" ht="15.75" customHeight="1" x14ac:dyDescent="0.25"/>
    <row r="10" spans="1:29" ht="15.75" customHeight="1" x14ac:dyDescent="0.25"/>
    <row r="11" spans="1:29" ht="15.75" customHeight="1" x14ac:dyDescent="0.25"/>
    <row r="12" spans="1:29" ht="15.75" customHeight="1" x14ac:dyDescent="0.25"/>
    <row r="13" spans="1:29" ht="15.75" customHeight="1" x14ac:dyDescent="0.25"/>
    <row r="14" spans="1:29" ht="15.75" customHeight="1" x14ac:dyDescent="0.25"/>
    <row r="15" spans="1:29" ht="15.75" customHeight="1" x14ac:dyDescent="0.25"/>
    <row r="19" spans="1:28"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x14ac:dyDescent="0.25">
      <c r="B20" s="10" t="str">
        <f>'Dashboard-1-AVALIAÇÃO INST.'!$A$21</f>
        <v>5-ÓTIMO</v>
      </c>
      <c r="C20" s="7">
        <f>COUNTIFS(C$2:C$17,5)/$A$33</f>
        <v>0.5</v>
      </c>
      <c r="D20" s="7">
        <f>COUNTIFS(D$2:D$17,5)/$A$33</f>
        <v>0.5</v>
      </c>
      <c r="E20" s="7">
        <f>COUNTIFS(E$2:E$17,5)/$A$33</f>
        <v>0.25</v>
      </c>
      <c r="F20" s="7">
        <f>COUNTIFS(F$2:F$17,5)/$A$33</f>
        <v>0.5</v>
      </c>
      <c r="G20" s="7">
        <f>COUNTIFS(G$2:G$17,5)/$A$33</f>
        <v>0.5</v>
      </c>
      <c r="I20" s="7">
        <f t="shared" ref="I20:S20" si="0">COUNTIFS(I$2:I$17,5)/$A$33</f>
        <v>0.5</v>
      </c>
      <c r="J20" s="7">
        <f t="shared" si="0"/>
        <v>0.25</v>
      </c>
      <c r="K20" s="7">
        <f t="shared" si="0"/>
        <v>0</v>
      </c>
      <c r="L20" s="7">
        <f t="shared" si="0"/>
        <v>0.5</v>
      </c>
      <c r="M20" s="7">
        <f t="shared" si="0"/>
        <v>0.25</v>
      </c>
      <c r="N20" s="7">
        <f t="shared" si="0"/>
        <v>1</v>
      </c>
      <c r="O20" s="7">
        <f t="shared" si="0"/>
        <v>0.5</v>
      </c>
      <c r="P20" s="7">
        <f t="shared" si="0"/>
        <v>0.25</v>
      </c>
      <c r="Q20" s="7">
        <f t="shared" si="0"/>
        <v>0.5</v>
      </c>
      <c r="R20" s="7">
        <f t="shared" si="0"/>
        <v>0.5</v>
      </c>
      <c r="S20" s="7">
        <f t="shared" si="0"/>
        <v>0.5</v>
      </c>
      <c r="U20" s="7">
        <f t="shared" ref="U20:AB20" si="1">COUNTIFS(U$2:U$17,5)/$A$33</f>
        <v>0</v>
      </c>
      <c r="V20" s="7">
        <f t="shared" si="1"/>
        <v>0.75</v>
      </c>
      <c r="W20" s="7">
        <f t="shared" si="1"/>
        <v>0.5</v>
      </c>
      <c r="X20" s="7">
        <f t="shared" si="1"/>
        <v>0</v>
      </c>
      <c r="Y20" s="7">
        <f t="shared" si="1"/>
        <v>0</v>
      </c>
      <c r="Z20" s="7">
        <f t="shared" si="1"/>
        <v>0</v>
      </c>
      <c r="AA20" s="7">
        <f t="shared" si="1"/>
        <v>0.75</v>
      </c>
      <c r="AB20" s="7">
        <f t="shared" si="1"/>
        <v>0</v>
      </c>
    </row>
    <row r="21" spans="1:28" x14ac:dyDescent="0.25">
      <c r="B21" s="10" t="str">
        <f>'Dashboard-1-AVALIAÇÃO INST.'!$A$22</f>
        <v>4-MUITO BOM</v>
      </c>
      <c r="C21" s="7">
        <f>COUNTIFS(C$2:C$17,4)/$A$33</f>
        <v>0.25</v>
      </c>
      <c r="D21" s="7">
        <f>COUNTIFS(D$2:D$17,4)/$A$33</f>
        <v>0.25</v>
      </c>
      <c r="E21" s="7">
        <f>COUNTIFS(E$2:E$17,4)/$A$33</f>
        <v>0.25</v>
      </c>
      <c r="F21" s="7">
        <f>COUNTIFS(F$2:F$17,4)/$A$33</f>
        <v>0</v>
      </c>
      <c r="G21" s="7">
        <f>COUNTIFS(G$2:G$17,4)/$A$33</f>
        <v>0.25</v>
      </c>
      <c r="I21" s="7">
        <f t="shared" ref="I21:S21" si="2">COUNTIFS(I$2:I$17,4)/$A$33</f>
        <v>0.25</v>
      </c>
      <c r="J21" s="7">
        <f t="shared" si="2"/>
        <v>0.5</v>
      </c>
      <c r="K21" s="7">
        <f t="shared" si="2"/>
        <v>0.75</v>
      </c>
      <c r="L21" s="7">
        <f t="shared" si="2"/>
        <v>0.25</v>
      </c>
      <c r="M21" s="7">
        <f t="shared" si="2"/>
        <v>0.25</v>
      </c>
      <c r="N21" s="7">
        <f t="shared" si="2"/>
        <v>0</v>
      </c>
      <c r="O21" s="7">
        <f t="shared" si="2"/>
        <v>0.5</v>
      </c>
      <c r="P21" s="7">
        <f t="shared" si="2"/>
        <v>0</v>
      </c>
      <c r="Q21" s="7">
        <f t="shared" si="2"/>
        <v>0.5</v>
      </c>
      <c r="R21" s="7">
        <f t="shared" si="2"/>
        <v>0.25</v>
      </c>
      <c r="S21" s="7">
        <f t="shared" si="2"/>
        <v>0.25</v>
      </c>
      <c r="U21" s="7">
        <f t="shared" ref="U21:AB21" si="3">COUNTIFS(U$2:U$17,4)/$A$33</f>
        <v>0.5</v>
      </c>
      <c r="V21" s="7">
        <f t="shared" si="3"/>
        <v>0</v>
      </c>
      <c r="W21" s="7">
        <f t="shared" si="3"/>
        <v>0.5</v>
      </c>
      <c r="X21" s="7">
        <f t="shared" si="3"/>
        <v>0.25</v>
      </c>
      <c r="Y21" s="7">
        <f t="shared" si="3"/>
        <v>0.75</v>
      </c>
      <c r="Z21" s="7">
        <f t="shared" si="3"/>
        <v>0.75</v>
      </c>
      <c r="AA21" s="7">
        <f t="shared" si="3"/>
        <v>0.25</v>
      </c>
      <c r="AB21" s="7">
        <f t="shared" si="3"/>
        <v>0.25</v>
      </c>
    </row>
    <row r="22" spans="1:28" x14ac:dyDescent="0.25">
      <c r="B22" s="10" t="str">
        <f>'Dashboard-1-AVALIAÇÃO INST.'!$A$23</f>
        <v>3-BOM</v>
      </c>
      <c r="C22" s="7">
        <f>COUNTIFS(C$2:C$17,3)/$A$33</f>
        <v>0.25</v>
      </c>
      <c r="D22" s="7">
        <f>COUNTIFS(D$2:D$17,3)/$A$33</f>
        <v>0.25</v>
      </c>
      <c r="E22" s="7">
        <f>COUNTIFS(E$2:E$17,3)/$A$33</f>
        <v>0.25</v>
      </c>
      <c r="F22" s="7">
        <f>COUNTIFS(F$2:F$17,3)/$A$33</f>
        <v>0.25</v>
      </c>
      <c r="G22" s="7">
        <f>COUNTIFS(G$2:G$17,3)/$A$33</f>
        <v>0.25</v>
      </c>
      <c r="I22" s="7">
        <f t="shared" ref="I22:S22" si="4">COUNTIFS(I$2:I$17,3)/$A$33</f>
        <v>0.25</v>
      </c>
      <c r="J22" s="7">
        <f t="shared" si="4"/>
        <v>0.25</v>
      </c>
      <c r="K22" s="7">
        <f t="shared" si="4"/>
        <v>0.25</v>
      </c>
      <c r="L22" s="7">
        <f t="shared" si="4"/>
        <v>0.25</v>
      </c>
      <c r="M22" s="7">
        <f t="shared" si="4"/>
        <v>0.5</v>
      </c>
      <c r="N22" s="7">
        <f t="shared" si="4"/>
        <v>0</v>
      </c>
      <c r="O22" s="7">
        <f t="shared" si="4"/>
        <v>0</v>
      </c>
      <c r="P22" s="7">
        <f t="shared" si="4"/>
        <v>0.75</v>
      </c>
      <c r="Q22" s="7">
        <f t="shared" si="4"/>
        <v>0</v>
      </c>
      <c r="R22" s="7">
        <f t="shared" si="4"/>
        <v>0.25</v>
      </c>
      <c r="S22" s="7">
        <f t="shared" si="4"/>
        <v>0</v>
      </c>
      <c r="U22" s="7">
        <f t="shared" ref="U22:AB22" si="5">COUNTIFS(U$2:U$17,3)/$A$33</f>
        <v>0.5</v>
      </c>
      <c r="V22" s="7">
        <f t="shared" si="5"/>
        <v>0.25</v>
      </c>
      <c r="W22" s="7">
        <f t="shared" si="5"/>
        <v>0</v>
      </c>
      <c r="X22" s="7">
        <f t="shared" si="5"/>
        <v>0.25</v>
      </c>
      <c r="Y22" s="7">
        <f t="shared" si="5"/>
        <v>0.25</v>
      </c>
      <c r="Z22" s="7">
        <f t="shared" si="5"/>
        <v>0.25</v>
      </c>
      <c r="AA22" s="7">
        <f t="shared" si="5"/>
        <v>0</v>
      </c>
      <c r="AB22" s="7">
        <f t="shared" si="5"/>
        <v>0.25</v>
      </c>
    </row>
    <row r="23" spans="1:28" x14ac:dyDescent="0.25">
      <c r="B23" s="10" t="str">
        <f>'Dashboard-1-AVALIAÇÃO INST.'!$A$24</f>
        <v>2-REGULAR</v>
      </c>
      <c r="C23" s="7">
        <f>COUNTIFS(C$2:C$17,2)/$A$33</f>
        <v>0</v>
      </c>
      <c r="D23" s="7">
        <f>COUNTIFS(D$2:D$17,2)/$A$33</f>
        <v>0</v>
      </c>
      <c r="E23" s="7">
        <f>COUNTIFS(E$2:E$17,2)/$A$33</f>
        <v>0.25</v>
      </c>
      <c r="F23" s="7">
        <f>COUNTIFS(F$2:F$17,2)/$A$33</f>
        <v>0.25</v>
      </c>
      <c r="G23" s="7">
        <f>COUNTIFS(G$2:G$17,2)/$A$33</f>
        <v>0</v>
      </c>
      <c r="I23" s="7">
        <f t="shared" ref="I23:S23" si="6">COUNTIFS(I$2:I$17,2)/$A$33</f>
        <v>0</v>
      </c>
      <c r="J23" s="7">
        <f t="shared" si="6"/>
        <v>0</v>
      </c>
      <c r="K23" s="7">
        <f t="shared" si="6"/>
        <v>0</v>
      </c>
      <c r="L23" s="7">
        <f t="shared" si="6"/>
        <v>0</v>
      </c>
      <c r="M23" s="7">
        <f t="shared" si="6"/>
        <v>0</v>
      </c>
      <c r="N23" s="7">
        <f t="shared" si="6"/>
        <v>0</v>
      </c>
      <c r="O23" s="7">
        <f t="shared" si="6"/>
        <v>0</v>
      </c>
      <c r="P23" s="7">
        <f t="shared" si="6"/>
        <v>0</v>
      </c>
      <c r="Q23" s="7">
        <f t="shared" si="6"/>
        <v>0</v>
      </c>
      <c r="R23" s="7">
        <f t="shared" si="6"/>
        <v>0</v>
      </c>
      <c r="S23" s="7">
        <f t="shared" si="6"/>
        <v>0.25</v>
      </c>
      <c r="U23" s="7">
        <f t="shared" ref="U23:AB23" si="7">COUNTIFS(U$2:U$17,2)/$A$33</f>
        <v>0</v>
      </c>
      <c r="V23" s="7">
        <f t="shared" si="7"/>
        <v>0</v>
      </c>
      <c r="W23" s="7">
        <f t="shared" si="7"/>
        <v>0</v>
      </c>
      <c r="X23" s="7">
        <f t="shared" si="7"/>
        <v>0.5</v>
      </c>
      <c r="Y23" s="7">
        <f t="shared" si="7"/>
        <v>0</v>
      </c>
      <c r="Z23" s="7">
        <f t="shared" si="7"/>
        <v>0</v>
      </c>
      <c r="AA23" s="7">
        <f t="shared" si="7"/>
        <v>0</v>
      </c>
      <c r="AB23" s="7">
        <f t="shared" si="7"/>
        <v>0</v>
      </c>
    </row>
    <row r="24" spans="1:28" x14ac:dyDescent="0.25">
      <c r="B24" s="10" t="str">
        <f>'Dashboard-1-AVALIAÇÃO INST.'!$A$25</f>
        <v>1-RUIM</v>
      </c>
      <c r="C24" s="7">
        <f>COUNTIFS(C$2:C$17,1)/$A$33</f>
        <v>0</v>
      </c>
      <c r="D24" s="7">
        <f>COUNTIFS(D$2:D$17,1)/$A$33</f>
        <v>0</v>
      </c>
      <c r="E24" s="7">
        <f>COUNTIFS(E$2:E$17,1)/$A$33</f>
        <v>0</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0</v>
      </c>
      <c r="Q24" s="7">
        <f t="shared" si="8"/>
        <v>0</v>
      </c>
      <c r="R24" s="7">
        <f t="shared" si="8"/>
        <v>0</v>
      </c>
      <c r="S24" s="7">
        <f t="shared" si="8"/>
        <v>0</v>
      </c>
      <c r="U24" s="7">
        <f t="shared" ref="U24:AB24" si="9">COUNTIFS(U$2:U$17,1)/$A$33</f>
        <v>0</v>
      </c>
      <c r="V24" s="7">
        <f t="shared" si="9"/>
        <v>0</v>
      </c>
      <c r="W24" s="7">
        <f t="shared" si="9"/>
        <v>0</v>
      </c>
      <c r="X24" s="7">
        <f t="shared" si="9"/>
        <v>0</v>
      </c>
      <c r="Y24" s="7">
        <f t="shared" si="9"/>
        <v>0</v>
      </c>
      <c r="Z24" s="7">
        <f t="shared" si="9"/>
        <v>0</v>
      </c>
      <c r="AA24" s="7">
        <f t="shared" si="9"/>
        <v>0</v>
      </c>
      <c r="AB24" s="7">
        <f t="shared" si="9"/>
        <v>0</v>
      </c>
    </row>
    <row r="25" spans="1:28" x14ac:dyDescent="0.25">
      <c r="B25" s="10" t="str">
        <f>'Dashboard-1-AVALIAÇÃO INST.'!$A$26</f>
        <v>0-NÃO SE APLICA</v>
      </c>
      <c r="C25" s="7">
        <f>COUNTIFS(C$2:C$17,0)/$A$33</f>
        <v>0</v>
      </c>
      <c r="D25" s="7">
        <f>COUNTIFS(D$2:D$17,0)/$A$33</f>
        <v>0</v>
      </c>
      <c r="E25" s="7">
        <f>COUNTIFS(E$2:E$17,0)/$A$33</f>
        <v>0</v>
      </c>
      <c r="F25" s="7">
        <f>COUNTIFS(F$2:F$17,0)/$A$33</f>
        <v>0</v>
      </c>
      <c r="G25" s="7">
        <f>COUNTIFS(G$2:G$17,0)/$A$33</f>
        <v>0</v>
      </c>
      <c r="I25" s="7">
        <f t="shared" ref="I25:S25" si="10">COUNTIFS(I$2:I$17,0)/$A$33</f>
        <v>0</v>
      </c>
      <c r="J25" s="7">
        <f t="shared" si="10"/>
        <v>0</v>
      </c>
      <c r="K25" s="7">
        <f t="shared" si="10"/>
        <v>0</v>
      </c>
      <c r="L25" s="7">
        <f t="shared" si="10"/>
        <v>0</v>
      </c>
      <c r="M25" s="7">
        <f t="shared" si="10"/>
        <v>0</v>
      </c>
      <c r="N25" s="7">
        <f t="shared" si="10"/>
        <v>0</v>
      </c>
      <c r="O25" s="7">
        <f t="shared" si="10"/>
        <v>0</v>
      </c>
      <c r="P25" s="7">
        <f t="shared" si="10"/>
        <v>0</v>
      </c>
      <c r="Q25" s="7">
        <f t="shared" si="10"/>
        <v>0</v>
      </c>
      <c r="R25" s="7">
        <f t="shared" si="10"/>
        <v>0</v>
      </c>
      <c r="S25" s="7">
        <f t="shared" si="10"/>
        <v>0</v>
      </c>
      <c r="U25" s="7">
        <f t="shared" ref="U25:AB25" si="11">COUNTIFS(U$2:U$17,0)/$A$33</f>
        <v>0</v>
      </c>
      <c r="V25" s="7">
        <f t="shared" si="11"/>
        <v>0</v>
      </c>
      <c r="W25" s="7">
        <f t="shared" si="11"/>
        <v>0</v>
      </c>
      <c r="X25" s="7">
        <f t="shared" si="11"/>
        <v>0</v>
      </c>
      <c r="Y25" s="7">
        <f t="shared" si="11"/>
        <v>0</v>
      </c>
      <c r="Z25" s="7">
        <f t="shared" si="11"/>
        <v>0</v>
      </c>
      <c r="AA25" s="7">
        <f t="shared" si="11"/>
        <v>0</v>
      </c>
      <c r="AB25" s="7">
        <f t="shared" si="11"/>
        <v>0.5</v>
      </c>
    </row>
    <row r="26" spans="1:28"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0.75</v>
      </c>
      <c r="D28" s="170">
        <f t="shared" ref="D28:AB28" si="14">D20+D21</f>
        <v>0.75</v>
      </c>
      <c r="E28" s="170">
        <f t="shared" si="14"/>
        <v>0.5</v>
      </c>
      <c r="F28" s="170">
        <f t="shared" si="14"/>
        <v>0.5</v>
      </c>
      <c r="G28" s="170">
        <f t="shared" si="14"/>
        <v>0.75</v>
      </c>
      <c r="H28" s="170">
        <f t="shared" si="14"/>
        <v>0</v>
      </c>
      <c r="I28" s="170">
        <f t="shared" si="14"/>
        <v>0.75</v>
      </c>
      <c r="J28" s="170">
        <f t="shared" si="14"/>
        <v>0.75</v>
      </c>
      <c r="K28" s="170">
        <f t="shared" si="14"/>
        <v>0.75</v>
      </c>
      <c r="L28" s="170">
        <f t="shared" si="14"/>
        <v>0.75</v>
      </c>
      <c r="M28" s="170">
        <f t="shared" si="14"/>
        <v>0.5</v>
      </c>
      <c r="N28" s="170">
        <f t="shared" si="14"/>
        <v>1</v>
      </c>
      <c r="O28" s="170">
        <f t="shared" si="14"/>
        <v>1</v>
      </c>
      <c r="P28" s="170">
        <f t="shared" si="14"/>
        <v>0.25</v>
      </c>
      <c r="Q28" s="170">
        <f t="shared" si="14"/>
        <v>1</v>
      </c>
      <c r="R28" s="170">
        <f t="shared" si="14"/>
        <v>0.75</v>
      </c>
      <c r="S28" s="170">
        <f t="shared" si="14"/>
        <v>0.75</v>
      </c>
      <c r="T28" s="170">
        <f t="shared" si="14"/>
        <v>0</v>
      </c>
      <c r="U28" s="170">
        <f t="shared" si="14"/>
        <v>0.5</v>
      </c>
      <c r="V28" s="170">
        <f t="shared" si="14"/>
        <v>0.75</v>
      </c>
      <c r="W28" s="170">
        <f t="shared" si="14"/>
        <v>1</v>
      </c>
      <c r="X28" s="170">
        <f t="shared" si="14"/>
        <v>0.25</v>
      </c>
      <c r="Y28" s="170">
        <f t="shared" si="14"/>
        <v>0.75</v>
      </c>
      <c r="Z28" s="170">
        <f t="shared" si="14"/>
        <v>0.75</v>
      </c>
      <c r="AA28" s="170">
        <f t="shared" si="14"/>
        <v>1</v>
      </c>
      <c r="AB28" s="166">
        <f t="shared" si="14"/>
        <v>0.25</v>
      </c>
    </row>
    <row r="29" spans="1:28" ht="15.6" x14ac:dyDescent="0.3">
      <c r="B29" s="110" t="str">
        <f>'Dashboard-1-AVALIAÇÃO INST.'!$A$30</f>
        <v>BOM</v>
      </c>
      <c r="C29" s="171">
        <f>C22</f>
        <v>0.25</v>
      </c>
      <c r="D29" s="168">
        <f t="shared" ref="D29:AB29" si="15">D22</f>
        <v>0.25</v>
      </c>
      <c r="E29" s="168">
        <f t="shared" si="15"/>
        <v>0.25</v>
      </c>
      <c r="F29" s="168">
        <f t="shared" si="15"/>
        <v>0.25</v>
      </c>
      <c r="G29" s="168">
        <f t="shared" si="15"/>
        <v>0.25</v>
      </c>
      <c r="H29" s="168">
        <f t="shared" si="15"/>
        <v>0</v>
      </c>
      <c r="I29" s="168">
        <f t="shared" si="15"/>
        <v>0.25</v>
      </c>
      <c r="J29" s="168">
        <f t="shared" si="15"/>
        <v>0.25</v>
      </c>
      <c r="K29" s="168">
        <f t="shared" si="15"/>
        <v>0.25</v>
      </c>
      <c r="L29" s="168">
        <f t="shared" si="15"/>
        <v>0.25</v>
      </c>
      <c r="M29" s="168">
        <f t="shared" si="15"/>
        <v>0.5</v>
      </c>
      <c r="N29" s="168">
        <f t="shared" si="15"/>
        <v>0</v>
      </c>
      <c r="O29" s="168">
        <f t="shared" si="15"/>
        <v>0</v>
      </c>
      <c r="P29" s="168">
        <f t="shared" si="15"/>
        <v>0.75</v>
      </c>
      <c r="Q29" s="168">
        <f t="shared" si="15"/>
        <v>0</v>
      </c>
      <c r="R29" s="168">
        <f t="shared" si="15"/>
        <v>0.25</v>
      </c>
      <c r="S29" s="168">
        <f t="shared" si="15"/>
        <v>0</v>
      </c>
      <c r="T29" s="168">
        <f t="shared" si="15"/>
        <v>0</v>
      </c>
      <c r="U29" s="168">
        <f t="shared" si="15"/>
        <v>0.5</v>
      </c>
      <c r="V29" s="168">
        <f t="shared" si="15"/>
        <v>0.25</v>
      </c>
      <c r="W29" s="168">
        <f t="shared" si="15"/>
        <v>0</v>
      </c>
      <c r="X29" s="168">
        <f t="shared" si="15"/>
        <v>0.25</v>
      </c>
      <c r="Y29" s="168">
        <f t="shared" si="15"/>
        <v>0.25</v>
      </c>
      <c r="Z29" s="168">
        <f t="shared" si="15"/>
        <v>0.25</v>
      </c>
      <c r="AA29" s="168">
        <f t="shared" si="15"/>
        <v>0</v>
      </c>
      <c r="AB29" s="167">
        <f t="shared" si="15"/>
        <v>0.25</v>
      </c>
    </row>
    <row r="30" spans="1:28" ht="15.6" x14ac:dyDescent="0.3">
      <c r="B30" s="110" t="str">
        <f>'Dashboard-1-AVALIAÇÃO INST.'!$A$31</f>
        <v>RUIM / REGULAR</v>
      </c>
      <c r="C30" s="171">
        <f>C23+C24</f>
        <v>0</v>
      </c>
      <c r="D30" s="168">
        <f t="shared" ref="D30:AB30" si="16">D23+D24</f>
        <v>0</v>
      </c>
      <c r="E30" s="168">
        <f t="shared" si="16"/>
        <v>0.25</v>
      </c>
      <c r="F30" s="168">
        <f t="shared" si="16"/>
        <v>0.25</v>
      </c>
      <c r="G30" s="168">
        <f t="shared" si="16"/>
        <v>0</v>
      </c>
      <c r="H30" s="168">
        <f t="shared" si="16"/>
        <v>0</v>
      </c>
      <c r="I30" s="168">
        <f t="shared" si="16"/>
        <v>0</v>
      </c>
      <c r="J30" s="168">
        <f t="shared" si="16"/>
        <v>0</v>
      </c>
      <c r="K30" s="168">
        <f t="shared" si="16"/>
        <v>0</v>
      </c>
      <c r="L30" s="168">
        <f t="shared" si="16"/>
        <v>0</v>
      </c>
      <c r="M30" s="168">
        <f t="shared" si="16"/>
        <v>0</v>
      </c>
      <c r="N30" s="168">
        <f t="shared" si="16"/>
        <v>0</v>
      </c>
      <c r="O30" s="168">
        <f t="shared" si="16"/>
        <v>0</v>
      </c>
      <c r="P30" s="168">
        <f t="shared" si="16"/>
        <v>0</v>
      </c>
      <c r="Q30" s="168">
        <f t="shared" si="16"/>
        <v>0</v>
      </c>
      <c r="R30" s="168">
        <f t="shared" si="16"/>
        <v>0</v>
      </c>
      <c r="S30" s="168">
        <f t="shared" si="16"/>
        <v>0.25</v>
      </c>
      <c r="T30" s="168">
        <f t="shared" si="16"/>
        <v>0</v>
      </c>
      <c r="U30" s="168">
        <f t="shared" si="16"/>
        <v>0</v>
      </c>
      <c r="V30" s="168">
        <f t="shared" si="16"/>
        <v>0</v>
      </c>
      <c r="W30" s="168">
        <f t="shared" si="16"/>
        <v>0</v>
      </c>
      <c r="X30" s="168">
        <f t="shared" si="16"/>
        <v>0.5</v>
      </c>
      <c r="Y30" s="168">
        <f t="shared" si="16"/>
        <v>0</v>
      </c>
      <c r="Z30" s="168">
        <f t="shared" si="16"/>
        <v>0</v>
      </c>
      <c r="AA30" s="168">
        <f t="shared" si="16"/>
        <v>0</v>
      </c>
      <c r="AB30" s="167">
        <f t="shared" si="16"/>
        <v>0</v>
      </c>
    </row>
    <row r="31" spans="1:28" ht="15.6" x14ac:dyDescent="0.3">
      <c r="B31" s="111" t="str">
        <f>'Dashboard-1-AVALIAÇÃO INST.'!$A$32</f>
        <v>NÃO SE APLICA / NÃO SEI</v>
      </c>
      <c r="C31" s="172">
        <f>C25</f>
        <v>0</v>
      </c>
      <c r="D31" s="173">
        <f t="shared" ref="D31:AB31" si="17">D25</f>
        <v>0</v>
      </c>
      <c r="E31" s="173">
        <f t="shared" si="17"/>
        <v>0</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v>
      </c>
      <c r="P31" s="173">
        <f t="shared" si="17"/>
        <v>0</v>
      </c>
      <c r="Q31" s="173">
        <f t="shared" si="17"/>
        <v>0</v>
      </c>
      <c r="R31" s="173">
        <f t="shared" si="17"/>
        <v>0</v>
      </c>
      <c r="S31" s="173">
        <f t="shared" si="17"/>
        <v>0</v>
      </c>
      <c r="T31" s="173">
        <f t="shared" si="17"/>
        <v>0</v>
      </c>
      <c r="U31" s="173">
        <f t="shared" si="17"/>
        <v>0</v>
      </c>
      <c r="V31" s="173">
        <f t="shared" si="17"/>
        <v>0</v>
      </c>
      <c r="W31" s="173">
        <f t="shared" si="17"/>
        <v>0</v>
      </c>
      <c r="X31" s="173">
        <f t="shared" si="17"/>
        <v>0</v>
      </c>
      <c r="Y31" s="173">
        <f t="shared" si="17"/>
        <v>0</v>
      </c>
      <c r="Z31" s="173">
        <f t="shared" si="17"/>
        <v>0</v>
      </c>
      <c r="AA31" s="173">
        <f t="shared" si="17"/>
        <v>0</v>
      </c>
      <c r="AB31" s="174">
        <f t="shared" si="17"/>
        <v>0.5</v>
      </c>
    </row>
    <row r="32" spans="1:28" x14ac:dyDescent="0.25">
      <c r="A32" s="5" t="s">
        <v>211</v>
      </c>
      <c r="B32" s="91"/>
      <c r="C32" s="165">
        <f>SUM(C28:C31)</f>
        <v>1</v>
      </c>
      <c r="D32" s="165">
        <f t="shared" ref="D32:AB32" si="18">SUM(D28:D31)</f>
        <v>1</v>
      </c>
      <c r="E32" s="165">
        <f t="shared" si="18"/>
        <v>1</v>
      </c>
      <c r="F32" s="165">
        <f t="shared" si="18"/>
        <v>1</v>
      </c>
      <c r="G32" s="165">
        <f t="shared" si="18"/>
        <v>1</v>
      </c>
      <c r="H32" s="165">
        <f t="shared" si="18"/>
        <v>0</v>
      </c>
      <c r="I32" s="165">
        <f t="shared" si="18"/>
        <v>1</v>
      </c>
      <c r="J32" s="165">
        <f t="shared" si="18"/>
        <v>1</v>
      </c>
      <c r="K32" s="165">
        <f t="shared" si="18"/>
        <v>1</v>
      </c>
      <c r="L32" s="165">
        <f t="shared" si="18"/>
        <v>1</v>
      </c>
      <c r="M32" s="165">
        <f t="shared" si="18"/>
        <v>1</v>
      </c>
      <c r="N32" s="165">
        <f t="shared" si="18"/>
        <v>1</v>
      </c>
      <c r="O32" s="165">
        <f t="shared" si="18"/>
        <v>1</v>
      </c>
      <c r="P32" s="165">
        <f t="shared" si="18"/>
        <v>1</v>
      </c>
      <c r="Q32" s="165">
        <f t="shared" si="18"/>
        <v>1</v>
      </c>
      <c r="R32" s="165">
        <f t="shared" si="18"/>
        <v>1</v>
      </c>
      <c r="S32" s="165">
        <f t="shared" si="18"/>
        <v>1</v>
      </c>
      <c r="T32" s="165">
        <f t="shared" si="18"/>
        <v>0</v>
      </c>
      <c r="U32" s="165">
        <f t="shared" si="18"/>
        <v>1</v>
      </c>
      <c r="V32" s="165">
        <f t="shared" si="18"/>
        <v>1</v>
      </c>
      <c r="W32" s="165">
        <f t="shared" si="18"/>
        <v>1</v>
      </c>
      <c r="X32" s="165">
        <f t="shared" si="18"/>
        <v>1</v>
      </c>
      <c r="Y32" s="165">
        <f t="shared" si="18"/>
        <v>1</v>
      </c>
      <c r="Z32" s="165">
        <f t="shared" si="18"/>
        <v>1</v>
      </c>
      <c r="AA32" s="165">
        <f t="shared" si="18"/>
        <v>1</v>
      </c>
      <c r="AB32" s="165">
        <f t="shared" si="18"/>
        <v>1</v>
      </c>
    </row>
    <row r="33" spans="1:2" x14ac:dyDescent="0.25">
      <c r="A33" s="6">
        <f>COUNT(C2:C7)</f>
        <v>4</v>
      </c>
    </row>
    <row r="35" spans="1:2" x14ac:dyDescent="0.25">
      <c r="A35" s="55" t="s">
        <v>30</v>
      </c>
      <c r="B35" s="55">
        <f>COUNTIF(B$2:B$7,"DISCENTE")</f>
        <v>4</v>
      </c>
    </row>
    <row r="36" spans="1:2" x14ac:dyDescent="0.25">
      <c r="A36" s="55" t="s">
        <v>29</v>
      </c>
      <c r="B36" s="55">
        <f>COUNTIF(B$2:B$7,"DOCENTE")</f>
        <v>0</v>
      </c>
    </row>
    <row r="37" spans="1:2" ht="13.8" x14ac:dyDescent="0.25">
      <c r="B37" s="56" t="str">
        <f>IF(B35+B36=A33,"Verificado","Erro")</f>
        <v>Verificado</v>
      </c>
    </row>
  </sheetData>
  <sheetProtection algorithmName="SHA-512" hashValue="ufm++3zIhDsp6GthWe0NKWbiYYbQEQqKFtZYxM6lnLCaBPdMIQOqiqNxw3A2WSVOceEFjXAB938NabvnY8UMZg==" saltValue="OArQGW4j55eZWWRospQ1nw==" spinCount="100000" sheet="1" formatColumns="0"/>
  <conditionalFormatting sqref="C20:G25 I20:S25 U20:AB25">
    <cfRule type="colorScale" priority="5">
      <colorScale>
        <cfvo type="min"/>
        <cfvo type="max"/>
        <color rgb="FFFCFCFF"/>
        <color rgb="FF63BE7B"/>
      </colorScale>
    </cfRule>
  </conditionalFormatting>
  <conditionalFormatting sqref="C26:G26">
    <cfRule type="iconSet" priority="10">
      <iconSet iconSet="3Flags">
        <cfvo type="percent" val="0"/>
        <cfvo type="percent" val="33"/>
        <cfvo type="percent" val="67"/>
      </iconSet>
    </cfRule>
    <cfRule type="containsText" dxfId="20" priority="11" operator="containsText" text="Conferido!">
      <formula>NOT(ISERROR(SEARCH("Conferido!",C26)))</formula>
    </cfRule>
  </conditionalFormatting>
  <conditionalFormatting sqref="C20:AB25 H26:H27 T26:T27 T33">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19"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18" priority="7" operator="containsText" text="Conferido!">
      <formula>NOT(ISERROR(SEARCH("Conferido!",U26)))</formula>
    </cfRule>
  </conditionalFormatting>
  <pageMargins left="0.511811024" right="0.511811024" top="0.78740157499999996" bottom="0.78740157499999996" header="0.31496062000000002" footer="0.31496062000000002"/>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7F82E-83C1-4A49-826F-93CFE03BEDA1}">
  <sheetPr codeName="Planilha12"/>
  <dimension ref="A1:AC37"/>
  <sheetViews>
    <sheetView zoomScale="60" zoomScaleNormal="60" workbookViewId="0">
      <pane ySplit="1" topLeftCell="A2" activePane="bottomLeft" state="frozen"/>
      <selection activeCell="AN69" sqref="AN69"/>
      <selection pane="bottomLeft" activeCell="L39" sqref="L39"/>
    </sheetView>
  </sheetViews>
  <sheetFormatPr defaultColWidth="8.77734375" defaultRowHeight="13.2" x14ac:dyDescent="0.25"/>
  <cols>
    <col min="1" max="1" width="19" bestFit="1" customWidth="1"/>
    <col min="2" max="2" width="54.21875" bestFit="1" customWidth="1"/>
    <col min="8" max="8" width="0" hidden="1"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44176.53714940972</v>
      </c>
      <c r="B2" s="1" t="s">
        <v>30</v>
      </c>
      <c r="C2" s="1">
        <v>4</v>
      </c>
      <c r="D2" s="1">
        <v>5</v>
      </c>
      <c r="E2" s="1">
        <v>5</v>
      </c>
      <c r="F2" s="1">
        <v>5</v>
      </c>
      <c r="G2" s="1">
        <v>5</v>
      </c>
      <c r="I2" s="1">
        <v>5</v>
      </c>
      <c r="J2" s="1">
        <v>5</v>
      </c>
      <c r="K2" s="1">
        <v>5</v>
      </c>
      <c r="L2" s="1">
        <v>5</v>
      </c>
      <c r="M2" s="1">
        <v>5</v>
      </c>
      <c r="N2" s="1">
        <v>5</v>
      </c>
      <c r="O2" s="1">
        <v>5</v>
      </c>
      <c r="P2" s="1">
        <v>3</v>
      </c>
      <c r="Q2" s="1">
        <v>5</v>
      </c>
      <c r="R2" s="1">
        <v>5</v>
      </c>
      <c r="S2" s="1">
        <v>5</v>
      </c>
      <c r="U2" s="1">
        <v>4</v>
      </c>
      <c r="V2" s="1">
        <v>5</v>
      </c>
      <c r="W2" s="1">
        <v>5</v>
      </c>
      <c r="X2" s="1">
        <v>4</v>
      </c>
      <c r="Y2" s="1">
        <v>4</v>
      </c>
      <c r="Z2" s="1">
        <v>5</v>
      </c>
      <c r="AA2" s="1">
        <v>5</v>
      </c>
      <c r="AB2" s="1">
        <v>3</v>
      </c>
    </row>
    <row r="3" spans="1:29" x14ac:dyDescent="0.25">
      <c r="A3" s="2">
        <v>44176.64459384259</v>
      </c>
      <c r="B3" s="1" t="s">
        <v>29</v>
      </c>
      <c r="C3" s="1">
        <v>5</v>
      </c>
      <c r="D3" s="1">
        <v>5</v>
      </c>
      <c r="E3" s="1">
        <v>5</v>
      </c>
      <c r="F3" s="1">
        <v>5</v>
      </c>
      <c r="G3" s="1">
        <v>5</v>
      </c>
      <c r="I3" s="1">
        <v>5</v>
      </c>
      <c r="J3" s="1">
        <v>5</v>
      </c>
      <c r="K3" s="1">
        <v>5</v>
      </c>
      <c r="L3" s="1">
        <v>5</v>
      </c>
      <c r="M3" s="1">
        <v>5</v>
      </c>
      <c r="N3" s="1">
        <v>5</v>
      </c>
      <c r="O3" s="1">
        <v>5</v>
      </c>
      <c r="P3" s="1">
        <v>5</v>
      </c>
      <c r="Q3" s="1">
        <v>5</v>
      </c>
      <c r="R3" s="1">
        <v>5</v>
      </c>
      <c r="S3" s="1">
        <v>5</v>
      </c>
      <c r="T3" s="1" t="s">
        <v>45</v>
      </c>
      <c r="U3" s="1">
        <v>0</v>
      </c>
      <c r="V3" s="1">
        <v>0</v>
      </c>
      <c r="W3" s="1">
        <v>0</v>
      </c>
      <c r="X3" s="1">
        <v>0</v>
      </c>
      <c r="Y3" s="1">
        <v>0</v>
      </c>
      <c r="Z3" s="1">
        <v>0</v>
      </c>
      <c r="AA3" s="1">
        <v>0</v>
      </c>
      <c r="AB3" s="1">
        <v>0</v>
      </c>
    </row>
    <row r="4" spans="1:29" x14ac:dyDescent="0.25">
      <c r="A4" s="2">
        <v>44179.462650416666</v>
      </c>
      <c r="B4" s="1" t="s">
        <v>30</v>
      </c>
      <c r="C4" s="1">
        <v>4</v>
      </c>
      <c r="D4" s="1">
        <v>4</v>
      </c>
      <c r="E4" s="1">
        <v>5</v>
      </c>
      <c r="F4" s="1">
        <v>5</v>
      </c>
      <c r="G4" s="1">
        <v>5</v>
      </c>
      <c r="I4" s="1">
        <v>5</v>
      </c>
      <c r="J4" s="1">
        <v>5</v>
      </c>
      <c r="K4" s="1">
        <v>5</v>
      </c>
      <c r="L4" s="1">
        <v>5</v>
      </c>
      <c r="M4" s="1">
        <v>5</v>
      </c>
      <c r="N4" s="1">
        <v>5</v>
      </c>
      <c r="O4" s="1">
        <v>5</v>
      </c>
      <c r="P4" s="1">
        <v>2</v>
      </c>
      <c r="Q4" s="1">
        <v>5</v>
      </c>
      <c r="R4" s="1">
        <v>5</v>
      </c>
      <c r="S4" s="1">
        <v>5</v>
      </c>
      <c r="U4" s="1">
        <v>5</v>
      </c>
      <c r="V4" s="1">
        <v>5</v>
      </c>
      <c r="W4" s="1">
        <v>5</v>
      </c>
      <c r="X4" s="1">
        <v>3</v>
      </c>
      <c r="Y4" s="1">
        <v>4</v>
      </c>
      <c r="Z4" s="1">
        <v>4</v>
      </c>
      <c r="AA4" s="1">
        <v>5</v>
      </c>
      <c r="AB4" s="1">
        <v>5</v>
      </c>
    </row>
    <row r="5" spans="1:29" x14ac:dyDescent="0.25">
      <c r="A5" s="2">
        <v>44182.400797326394</v>
      </c>
      <c r="B5" s="1" t="s">
        <v>30</v>
      </c>
      <c r="C5" s="1">
        <v>5</v>
      </c>
      <c r="D5" s="1">
        <v>5</v>
      </c>
      <c r="E5" s="1">
        <v>5</v>
      </c>
      <c r="F5" s="1">
        <v>5</v>
      </c>
      <c r="G5" s="1">
        <v>5</v>
      </c>
      <c r="I5" s="1">
        <v>5</v>
      </c>
      <c r="J5" s="1">
        <v>5</v>
      </c>
      <c r="K5" s="1">
        <v>5</v>
      </c>
      <c r="L5" s="1">
        <v>5</v>
      </c>
      <c r="M5" s="1">
        <v>5</v>
      </c>
      <c r="N5" s="1">
        <v>5</v>
      </c>
      <c r="O5" s="1">
        <v>5</v>
      </c>
      <c r="P5" s="1">
        <v>5</v>
      </c>
      <c r="Q5" s="1">
        <v>5</v>
      </c>
      <c r="R5" s="1">
        <v>5</v>
      </c>
      <c r="S5" s="1">
        <v>5</v>
      </c>
      <c r="U5" s="1">
        <v>5</v>
      </c>
      <c r="V5" s="1">
        <v>5</v>
      </c>
      <c r="W5" s="1">
        <v>5</v>
      </c>
      <c r="X5" s="1">
        <v>5</v>
      </c>
      <c r="Y5" s="1">
        <v>5</v>
      </c>
      <c r="Z5" s="1">
        <v>5</v>
      </c>
      <c r="AA5" s="1">
        <v>5</v>
      </c>
      <c r="AB5" s="1">
        <v>5</v>
      </c>
    </row>
    <row r="10" spans="1:29" ht="15.75" customHeight="1" x14ac:dyDescent="0.25"/>
    <row r="11" spans="1:29" ht="15.75" customHeight="1" x14ac:dyDescent="0.25"/>
    <row r="12" spans="1:29" ht="15.75" customHeight="1" x14ac:dyDescent="0.25"/>
    <row r="13" spans="1:29" ht="15.75" customHeight="1" x14ac:dyDescent="0.25"/>
    <row r="14" spans="1:29" ht="15.75" customHeight="1" x14ac:dyDescent="0.25"/>
    <row r="15" spans="1:29" ht="15.75" customHeight="1" x14ac:dyDescent="0.25"/>
    <row r="16" spans="1:29" ht="15.75" customHeight="1" x14ac:dyDescent="0.25"/>
    <row r="17" spans="1:28" ht="15.75" customHeight="1" x14ac:dyDescent="0.25"/>
    <row r="19" spans="1:28"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x14ac:dyDescent="0.25">
      <c r="B20" s="10" t="str">
        <f>'Dashboard-1-AVALIAÇÃO INST.'!$A$21</f>
        <v>5-ÓTIMO</v>
      </c>
      <c r="C20" s="7">
        <f>COUNTIFS(C$2:C$17,5)/$A$33</f>
        <v>0.5</v>
      </c>
      <c r="D20" s="7">
        <f>COUNTIFS(D$2:D$17,5)/$A$33</f>
        <v>0.75</v>
      </c>
      <c r="E20" s="7">
        <f>COUNTIFS(E$2:E$17,5)/$A$33</f>
        <v>1</v>
      </c>
      <c r="F20" s="7">
        <f>COUNTIFS(F$2:F$17,5)/$A$33</f>
        <v>1</v>
      </c>
      <c r="G20" s="7">
        <f>COUNTIFS(G$2:G$17,5)/$A$33</f>
        <v>1</v>
      </c>
      <c r="I20" s="7">
        <f t="shared" ref="I20:S20" si="0">COUNTIFS(I$2:I$17,5)/$A$33</f>
        <v>1</v>
      </c>
      <c r="J20" s="7">
        <f t="shared" si="0"/>
        <v>1</v>
      </c>
      <c r="K20" s="7">
        <f t="shared" si="0"/>
        <v>1</v>
      </c>
      <c r="L20" s="7">
        <f t="shared" si="0"/>
        <v>1</v>
      </c>
      <c r="M20" s="7">
        <f t="shared" si="0"/>
        <v>1</v>
      </c>
      <c r="N20" s="7">
        <f t="shared" si="0"/>
        <v>1</v>
      </c>
      <c r="O20" s="7">
        <f t="shared" si="0"/>
        <v>1</v>
      </c>
      <c r="P20" s="7">
        <f t="shared" si="0"/>
        <v>0.5</v>
      </c>
      <c r="Q20" s="7">
        <f t="shared" si="0"/>
        <v>1</v>
      </c>
      <c r="R20" s="7">
        <f t="shared" si="0"/>
        <v>1</v>
      </c>
      <c r="S20" s="7">
        <f t="shared" si="0"/>
        <v>1</v>
      </c>
      <c r="U20" s="7">
        <f t="shared" ref="U20:AB20" si="1">COUNTIFS(U$2:U$17,5)/$A$33</f>
        <v>0.5</v>
      </c>
      <c r="V20" s="7">
        <f t="shared" si="1"/>
        <v>0.75</v>
      </c>
      <c r="W20" s="7">
        <f t="shared" si="1"/>
        <v>0.75</v>
      </c>
      <c r="X20" s="7">
        <f t="shared" si="1"/>
        <v>0.25</v>
      </c>
      <c r="Y20" s="7">
        <f t="shared" si="1"/>
        <v>0.25</v>
      </c>
      <c r="Z20" s="7">
        <f t="shared" si="1"/>
        <v>0.5</v>
      </c>
      <c r="AA20" s="7">
        <f t="shared" si="1"/>
        <v>0.75</v>
      </c>
      <c r="AB20" s="7">
        <f t="shared" si="1"/>
        <v>0.5</v>
      </c>
    </row>
    <row r="21" spans="1:28" x14ac:dyDescent="0.25">
      <c r="B21" s="10" t="str">
        <f>'Dashboard-1-AVALIAÇÃO INST.'!$A$22</f>
        <v>4-MUITO BOM</v>
      </c>
      <c r="C21" s="7">
        <f>COUNTIFS(C$2:C$17,4)/$A$33</f>
        <v>0.5</v>
      </c>
      <c r="D21" s="7">
        <f>COUNTIFS(D$2:D$17,4)/$A$33</f>
        <v>0.25</v>
      </c>
      <c r="E21" s="7">
        <f>COUNTIFS(E$2:E$17,4)/$A$33</f>
        <v>0</v>
      </c>
      <c r="F21" s="7">
        <f>COUNTIFS(F$2:F$17,4)/$A$33</f>
        <v>0</v>
      </c>
      <c r="G21" s="7">
        <f>COUNTIFS(G$2:G$17,4)/$A$33</f>
        <v>0</v>
      </c>
      <c r="I21" s="7">
        <f t="shared" ref="I21:S21" si="2">COUNTIFS(I$2:I$17,4)/$A$33</f>
        <v>0</v>
      </c>
      <c r="J21" s="7">
        <f t="shared" si="2"/>
        <v>0</v>
      </c>
      <c r="K21" s="7">
        <f t="shared" si="2"/>
        <v>0</v>
      </c>
      <c r="L21" s="7">
        <f t="shared" si="2"/>
        <v>0</v>
      </c>
      <c r="M21" s="7">
        <f t="shared" si="2"/>
        <v>0</v>
      </c>
      <c r="N21" s="7">
        <f t="shared" si="2"/>
        <v>0</v>
      </c>
      <c r="O21" s="7">
        <f t="shared" si="2"/>
        <v>0</v>
      </c>
      <c r="P21" s="7">
        <f t="shared" si="2"/>
        <v>0</v>
      </c>
      <c r="Q21" s="7">
        <f t="shared" si="2"/>
        <v>0</v>
      </c>
      <c r="R21" s="7">
        <f t="shared" si="2"/>
        <v>0</v>
      </c>
      <c r="S21" s="7">
        <f t="shared" si="2"/>
        <v>0</v>
      </c>
      <c r="U21" s="7">
        <f t="shared" ref="U21:AB21" si="3">COUNTIFS(U$2:U$17,4)/$A$33</f>
        <v>0.25</v>
      </c>
      <c r="V21" s="7">
        <f t="shared" si="3"/>
        <v>0</v>
      </c>
      <c r="W21" s="7">
        <f t="shared" si="3"/>
        <v>0</v>
      </c>
      <c r="X21" s="7">
        <f t="shared" si="3"/>
        <v>0.25</v>
      </c>
      <c r="Y21" s="7">
        <f t="shared" si="3"/>
        <v>0.5</v>
      </c>
      <c r="Z21" s="7">
        <f t="shared" si="3"/>
        <v>0.25</v>
      </c>
      <c r="AA21" s="7">
        <f t="shared" si="3"/>
        <v>0</v>
      </c>
      <c r="AB21" s="7">
        <f t="shared" si="3"/>
        <v>0</v>
      </c>
    </row>
    <row r="22" spans="1:28" x14ac:dyDescent="0.25">
      <c r="B22" s="10" t="str">
        <f>'Dashboard-1-AVALIAÇÃO INST.'!$A$23</f>
        <v>3-BOM</v>
      </c>
      <c r="C22" s="7">
        <f>COUNTIFS(C$2:C$17,3)/$A$33</f>
        <v>0</v>
      </c>
      <c r="D22" s="7">
        <f>COUNTIFS(D$2:D$17,3)/$A$33</f>
        <v>0</v>
      </c>
      <c r="E22" s="7">
        <f>COUNTIFS(E$2:E$17,3)/$A$33</f>
        <v>0</v>
      </c>
      <c r="F22" s="7">
        <f>COUNTIFS(F$2:F$17,3)/$A$33</f>
        <v>0</v>
      </c>
      <c r="G22" s="7">
        <f>COUNTIFS(G$2:G$17,3)/$A$33</f>
        <v>0</v>
      </c>
      <c r="I22" s="7">
        <f t="shared" ref="I22:S22" si="4">COUNTIFS(I$2:I$17,3)/$A$33</f>
        <v>0</v>
      </c>
      <c r="J22" s="7">
        <f t="shared" si="4"/>
        <v>0</v>
      </c>
      <c r="K22" s="7">
        <f t="shared" si="4"/>
        <v>0</v>
      </c>
      <c r="L22" s="7">
        <f t="shared" si="4"/>
        <v>0</v>
      </c>
      <c r="M22" s="7">
        <f t="shared" si="4"/>
        <v>0</v>
      </c>
      <c r="N22" s="7">
        <f t="shared" si="4"/>
        <v>0</v>
      </c>
      <c r="O22" s="7">
        <f t="shared" si="4"/>
        <v>0</v>
      </c>
      <c r="P22" s="7">
        <f t="shared" si="4"/>
        <v>0.25</v>
      </c>
      <c r="Q22" s="7">
        <f t="shared" si="4"/>
        <v>0</v>
      </c>
      <c r="R22" s="7">
        <f t="shared" si="4"/>
        <v>0</v>
      </c>
      <c r="S22" s="7">
        <f t="shared" si="4"/>
        <v>0</v>
      </c>
      <c r="U22" s="7">
        <f t="shared" ref="U22:AB22" si="5">COUNTIFS(U$2:U$17,3)/$A$33</f>
        <v>0</v>
      </c>
      <c r="V22" s="7">
        <f t="shared" si="5"/>
        <v>0</v>
      </c>
      <c r="W22" s="7">
        <f t="shared" si="5"/>
        <v>0</v>
      </c>
      <c r="X22" s="7">
        <f t="shared" si="5"/>
        <v>0.25</v>
      </c>
      <c r="Y22" s="7">
        <f t="shared" si="5"/>
        <v>0</v>
      </c>
      <c r="Z22" s="7">
        <f t="shared" si="5"/>
        <v>0</v>
      </c>
      <c r="AA22" s="7">
        <f t="shared" si="5"/>
        <v>0</v>
      </c>
      <c r="AB22" s="7">
        <f t="shared" si="5"/>
        <v>0.25</v>
      </c>
    </row>
    <row r="23" spans="1:28" x14ac:dyDescent="0.25">
      <c r="B23" s="10" t="str">
        <f>'Dashboard-1-AVALIAÇÃO INST.'!$A$24</f>
        <v>2-REGULAR</v>
      </c>
      <c r="C23" s="7">
        <f>COUNTIFS(C$2:C$17,2)/$A$33</f>
        <v>0</v>
      </c>
      <c r="D23" s="7">
        <f>COUNTIFS(D$2:D$17,2)/$A$33</f>
        <v>0</v>
      </c>
      <c r="E23" s="7">
        <f>COUNTIFS(E$2:E$17,2)/$A$33</f>
        <v>0</v>
      </c>
      <c r="F23" s="7">
        <f>COUNTIFS(F$2:F$17,2)/$A$33</f>
        <v>0</v>
      </c>
      <c r="G23" s="7">
        <f>COUNTIFS(G$2:G$17,2)/$A$33</f>
        <v>0</v>
      </c>
      <c r="I23" s="7">
        <f t="shared" ref="I23:S23" si="6">COUNTIFS(I$2:I$17,2)/$A$33</f>
        <v>0</v>
      </c>
      <c r="J23" s="7">
        <f t="shared" si="6"/>
        <v>0</v>
      </c>
      <c r="K23" s="7">
        <f t="shared" si="6"/>
        <v>0</v>
      </c>
      <c r="L23" s="7">
        <f t="shared" si="6"/>
        <v>0</v>
      </c>
      <c r="M23" s="7">
        <f t="shared" si="6"/>
        <v>0</v>
      </c>
      <c r="N23" s="7">
        <f t="shared" si="6"/>
        <v>0</v>
      </c>
      <c r="O23" s="7">
        <f t="shared" si="6"/>
        <v>0</v>
      </c>
      <c r="P23" s="7">
        <f t="shared" si="6"/>
        <v>0.25</v>
      </c>
      <c r="Q23" s="7">
        <f t="shared" si="6"/>
        <v>0</v>
      </c>
      <c r="R23" s="7">
        <f t="shared" si="6"/>
        <v>0</v>
      </c>
      <c r="S23" s="7">
        <f t="shared" si="6"/>
        <v>0</v>
      </c>
      <c r="U23" s="7">
        <f t="shared" ref="U23:AB23" si="7">COUNTIFS(U$2:U$17,2)/$A$33</f>
        <v>0</v>
      </c>
      <c r="V23" s="7">
        <f t="shared" si="7"/>
        <v>0</v>
      </c>
      <c r="W23" s="7">
        <f t="shared" si="7"/>
        <v>0</v>
      </c>
      <c r="X23" s="7">
        <f t="shared" si="7"/>
        <v>0</v>
      </c>
      <c r="Y23" s="7">
        <f t="shared" si="7"/>
        <v>0</v>
      </c>
      <c r="Z23" s="7">
        <f t="shared" si="7"/>
        <v>0</v>
      </c>
      <c r="AA23" s="7">
        <f t="shared" si="7"/>
        <v>0</v>
      </c>
      <c r="AB23" s="7">
        <f t="shared" si="7"/>
        <v>0</v>
      </c>
    </row>
    <row r="24" spans="1:28" x14ac:dyDescent="0.25">
      <c r="B24" s="10" t="str">
        <f>'Dashboard-1-AVALIAÇÃO INST.'!$A$25</f>
        <v>1-RUIM</v>
      </c>
      <c r="C24" s="7">
        <f>COUNTIFS(C$2:C$17,1)/$A$33</f>
        <v>0</v>
      </c>
      <c r="D24" s="7">
        <f>COUNTIFS(D$2:D$17,1)/$A$33</f>
        <v>0</v>
      </c>
      <c r="E24" s="7">
        <f>COUNTIFS(E$2:E$17,1)/$A$33</f>
        <v>0</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0</v>
      </c>
      <c r="Q24" s="7">
        <f t="shared" si="8"/>
        <v>0</v>
      </c>
      <c r="R24" s="7">
        <f t="shared" si="8"/>
        <v>0</v>
      </c>
      <c r="S24" s="7">
        <f t="shared" si="8"/>
        <v>0</v>
      </c>
      <c r="U24" s="7">
        <f t="shared" ref="U24:AB24" si="9">COUNTIFS(U$2:U$17,1)/$A$33</f>
        <v>0</v>
      </c>
      <c r="V24" s="7">
        <f t="shared" si="9"/>
        <v>0</v>
      </c>
      <c r="W24" s="7">
        <f t="shared" si="9"/>
        <v>0</v>
      </c>
      <c r="X24" s="7">
        <f t="shared" si="9"/>
        <v>0</v>
      </c>
      <c r="Y24" s="7">
        <f t="shared" si="9"/>
        <v>0</v>
      </c>
      <c r="Z24" s="7">
        <f t="shared" si="9"/>
        <v>0</v>
      </c>
      <c r="AA24" s="7">
        <f t="shared" si="9"/>
        <v>0</v>
      </c>
      <c r="AB24" s="7">
        <f t="shared" si="9"/>
        <v>0</v>
      </c>
    </row>
    <row r="25" spans="1:28" x14ac:dyDescent="0.25">
      <c r="B25" s="10" t="str">
        <f>'Dashboard-1-AVALIAÇÃO INST.'!$A$26</f>
        <v>0-NÃO SE APLICA</v>
      </c>
      <c r="C25" s="7">
        <f>COUNTIFS(C$2:C$17,0)/$A$33</f>
        <v>0</v>
      </c>
      <c r="D25" s="7">
        <f>COUNTIFS(D$2:D$17,0)/$A$33</f>
        <v>0</v>
      </c>
      <c r="E25" s="7">
        <f>COUNTIFS(E$2:E$17,0)/$A$33</f>
        <v>0</v>
      </c>
      <c r="F25" s="7">
        <f>COUNTIFS(F$2:F$17,0)/$A$33</f>
        <v>0</v>
      </c>
      <c r="G25" s="7">
        <f>COUNTIFS(G$2:G$17,0)/$A$33</f>
        <v>0</v>
      </c>
      <c r="I25" s="7">
        <f t="shared" ref="I25:S25" si="10">COUNTIFS(I$2:I$17,0)/$A$33</f>
        <v>0</v>
      </c>
      <c r="J25" s="7">
        <f t="shared" si="10"/>
        <v>0</v>
      </c>
      <c r="K25" s="7">
        <f t="shared" si="10"/>
        <v>0</v>
      </c>
      <c r="L25" s="7">
        <f t="shared" si="10"/>
        <v>0</v>
      </c>
      <c r="M25" s="7">
        <f t="shared" si="10"/>
        <v>0</v>
      </c>
      <c r="N25" s="7">
        <f t="shared" si="10"/>
        <v>0</v>
      </c>
      <c r="O25" s="7">
        <f t="shared" si="10"/>
        <v>0</v>
      </c>
      <c r="P25" s="7">
        <f t="shared" si="10"/>
        <v>0</v>
      </c>
      <c r="Q25" s="7">
        <f t="shared" si="10"/>
        <v>0</v>
      </c>
      <c r="R25" s="7">
        <f t="shared" si="10"/>
        <v>0</v>
      </c>
      <c r="S25" s="7">
        <f t="shared" si="10"/>
        <v>0</v>
      </c>
      <c r="U25" s="7">
        <f t="shared" ref="U25:AB25" si="11">COUNTIFS(U$2:U$17,0)/$A$33</f>
        <v>0.25</v>
      </c>
      <c r="V25" s="7">
        <f t="shared" si="11"/>
        <v>0.25</v>
      </c>
      <c r="W25" s="7">
        <f t="shared" si="11"/>
        <v>0.25</v>
      </c>
      <c r="X25" s="7">
        <f t="shared" si="11"/>
        <v>0.25</v>
      </c>
      <c r="Y25" s="7">
        <f t="shared" si="11"/>
        <v>0.25</v>
      </c>
      <c r="Z25" s="7">
        <f t="shared" si="11"/>
        <v>0.25</v>
      </c>
      <c r="AA25" s="7">
        <f t="shared" si="11"/>
        <v>0.25</v>
      </c>
      <c r="AB25" s="7">
        <f t="shared" si="11"/>
        <v>0.25</v>
      </c>
    </row>
    <row r="26" spans="1:28"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1</v>
      </c>
      <c r="D28" s="170">
        <f t="shared" ref="D28:AB28" si="14">D20+D21</f>
        <v>1</v>
      </c>
      <c r="E28" s="170">
        <f t="shared" si="14"/>
        <v>1</v>
      </c>
      <c r="F28" s="170">
        <f t="shared" si="14"/>
        <v>1</v>
      </c>
      <c r="G28" s="170">
        <f t="shared" si="14"/>
        <v>1</v>
      </c>
      <c r="H28" s="170">
        <f t="shared" si="14"/>
        <v>0</v>
      </c>
      <c r="I28" s="170">
        <f t="shared" si="14"/>
        <v>1</v>
      </c>
      <c r="J28" s="170">
        <f t="shared" si="14"/>
        <v>1</v>
      </c>
      <c r="K28" s="170">
        <f t="shared" si="14"/>
        <v>1</v>
      </c>
      <c r="L28" s="170">
        <f t="shared" si="14"/>
        <v>1</v>
      </c>
      <c r="M28" s="170">
        <f t="shared" si="14"/>
        <v>1</v>
      </c>
      <c r="N28" s="170">
        <f t="shared" si="14"/>
        <v>1</v>
      </c>
      <c r="O28" s="170">
        <f t="shared" si="14"/>
        <v>1</v>
      </c>
      <c r="P28" s="170">
        <f t="shared" si="14"/>
        <v>0.5</v>
      </c>
      <c r="Q28" s="170">
        <f t="shared" si="14"/>
        <v>1</v>
      </c>
      <c r="R28" s="170">
        <f t="shared" si="14"/>
        <v>1</v>
      </c>
      <c r="S28" s="170">
        <f t="shared" si="14"/>
        <v>1</v>
      </c>
      <c r="T28" s="170">
        <f t="shared" si="14"/>
        <v>0</v>
      </c>
      <c r="U28" s="170">
        <f t="shared" si="14"/>
        <v>0.75</v>
      </c>
      <c r="V28" s="170">
        <f t="shared" si="14"/>
        <v>0.75</v>
      </c>
      <c r="W28" s="170">
        <f t="shared" si="14"/>
        <v>0.75</v>
      </c>
      <c r="X28" s="170">
        <f t="shared" si="14"/>
        <v>0.5</v>
      </c>
      <c r="Y28" s="170">
        <f t="shared" si="14"/>
        <v>0.75</v>
      </c>
      <c r="Z28" s="170">
        <f t="shared" si="14"/>
        <v>0.75</v>
      </c>
      <c r="AA28" s="170">
        <f t="shared" si="14"/>
        <v>0.75</v>
      </c>
      <c r="AB28" s="166">
        <f t="shared" si="14"/>
        <v>0.5</v>
      </c>
    </row>
    <row r="29" spans="1:28" ht="15.6" x14ac:dyDescent="0.3">
      <c r="B29" s="110" t="str">
        <f>'Dashboard-1-AVALIAÇÃO INST.'!$A$30</f>
        <v>BOM</v>
      </c>
      <c r="C29" s="171">
        <f>C22</f>
        <v>0</v>
      </c>
      <c r="D29" s="168">
        <f t="shared" ref="D29:AB29" si="15">D22</f>
        <v>0</v>
      </c>
      <c r="E29" s="168">
        <f t="shared" si="15"/>
        <v>0</v>
      </c>
      <c r="F29" s="168">
        <f t="shared" si="15"/>
        <v>0</v>
      </c>
      <c r="G29" s="168">
        <f t="shared" si="15"/>
        <v>0</v>
      </c>
      <c r="H29" s="168">
        <f t="shared" si="15"/>
        <v>0</v>
      </c>
      <c r="I29" s="168">
        <f t="shared" si="15"/>
        <v>0</v>
      </c>
      <c r="J29" s="168">
        <f t="shared" si="15"/>
        <v>0</v>
      </c>
      <c r="K29" s="168">
        <f t="shared" si="15"/>
        <v>0</v>
      </c>
      <c r="L29" s="168">
        <f t="shared" si="15"/>
        <v>0</v>
      </c>
      <c r="M29" s="168">
        <f t="shared" si="15"/>
        <v>0</v>
      </c>
      <c r="N29" s="168">
        <f t="shared" si="15"/>
        <v>0</v>
      </c>
      <c r="O29" s="168">
        <f t="shared" si="15"/>
        <v>0</v>
      </c>
      <c r="P29" s="168">
        <f t="shared" si="15"/>
        <v>0.25</v>
      </c>
      <c r="Q29" s="168">
        <f t="shared" si="15"/>
        <v>0</v>
      </c>
      <c r="R29" s="168">
        <f t="shared" si="15"/>
        <v>0</v>
      </c>
      <c r="S29" s="168">
        <f t="shared" si="15"/>
        <v>0</v>
      </c>
      <c r="T29" s="168">
        <f t="shared" si="15"/>
        <v>0</v>
      </c>
      <c r="U29" s="168">
        <f t="shared" si="15"/>
        <v>0</v>
      </c>
      <c r="V29" s="168">
        <f t="shared" si="15"/>
        <v>0</v>
      </c>
      <c r="W29" s="168">
        <f t="shared" si="15"/>
        <v>0</v>
      </c>
      <c r="X29" s="168">
        <f t="shared" si="15"/>
        <v>0.25</v>
      </c>
      <c r="Y29" s="168">
        <f t="shared" si="15"/>
        <v>0</v>
      </c>
      <c r="Z29" s="168">
        <f t="shared" si="15"/>
        <v>0</v>
      </c>
      <c r="AA29" s="168">
        <f t="shared" si="15"/>
        <v>0</v>
      </c>
      <c r="AB29" s="167">
        <f t="shared" si="15"/>
        <v>0.25</v>
      </c>
    </row>
    <row r="30" spans="1:28" ht="15.6" x14ac:dyDescent="0.3">
      <c r="B30" s="110" t="str">
        <f>'Dashboard-1-AVALIAÇÃO INST.'!$A$31</f>
        <v>RUIM / REGULAR</v>
      </c>
      <c r="C30" s="171">
        <f>C23+C24</f>
        <v>0</v>
      </c>
      <c r="D30" s="168">
        <f t="shared" ref="D30:AB30" si="16">D23+D24</f>
        <v>0</v>
      </c>
      <c r="E30" s="168">
        <f t="shared" si="16"/>
        <v>0</v>
      </c>
      <c r="F30" s="168">
        <f t="shared" si="16"/>
        <v>0</v>
      </c>
      <c r="G30" s="168">
        <f t="shared" si="16"/>
        <v>0</v>
      </c>
      <c r="H30" s="168">
        <f t="shared" si="16"/>
        <v>0</v>
      </c>
      <c r="I30" s="168">
        <f t="shared" si="16"/>
        <v>0</v>
      </c>
      <c r="J30" s="168">
        <f t="shared" si="16"/>
        <v>0</v>
      </c>
      <c r="K30" s="168">
        <f t="shared" si="16"/>
        <v>0</v>
      </c>
      <c r="L30" s="168">
        <f t="shared" si="16"/>
        <v>0</v>
      </c>
      <c r="M30" s="168">
        <f t="shared" si="16"/>
        <v>0</v>
      </c>
      <c r="N30" s="168">
        <f t="shared" si="16"/>
        <v>0</v>
      </c>
      <c r="O30" s="168">
        <f t="shared" si="16"/>
        <v>0</v>
      </c>
      <c r="P30" s="168">
        <f t="shared" si="16"/>
        <v>0.25</v>
      </c>
      <c r="Q30" s="168">
        <f t="shared" si="16"/>
        <v>0</v>
      </c>
      <c r="R30" s="168">
        <f t="shared" si="16"/>
        <v>0</v>
      </c>
      <c r="S30" s="168">
        <f t="shared" si="16"/>
        <v>0</v>
      </c>
      <c r="T30" s="168">
        <f t="shared" si="16"/>
        <v>0</v>
      </c>
      <c r="U30" s="168">
        <f t="shared" si="16"/>
        <v>0</v>
      </c>
      <c r="V30" s="168">
        <f t="shared" si="16"/>
        <v>0</v>
      </c>
      <c r="W30" s="168">
        <f t="shared" si="16"/>
        <v>0</v>
      </c>
      <c r="X30" s="168">
        <f t="shared" si="16"/>
        <v>0</v>
      </c>
      <c r="Y30" s="168">
        <f t="shared" si="16"/>
        <v>0</v>
      </c>
      <c r="Z30" s="168">
        <f t="shared" si="16"/>
        <v>0</v>
      </c>
      <c r="AA30" s="168">
        <f t="shared" si="16"/>
        <v>0</v>
      </c>
      <c r="AB30" s="167">
        <f t="shared" si="16"/>
        <v>0</v>
      </c>
    </row>
    <row r="31" spans="1:28" ht="15.6" x14ac:dyDescent="0.3">
      <c r="B31" s="111" t="str">
        <f>'Dashboard-1-AVALIAÇÃO INST.'!$A$32</f>
        <v>NÃO SE APLICA / NÃO SEI</v>
      </c>
      <c r="C31" s="172">
        <f>C25</f>
        <v>0</v>
      </c>
      <c r="D31" s="173">
        <f t="shared" ref="D31:AB31" si="17">D25</f>
        <v>0</v>
      </c>
      <c r="E31" s="173">
        <f t="shared" si="17"/>
        <v>0</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v>
      </c>
      <c r="P31" s="173">
        <f t="shared" si="17"/>
        <v>0</v>
      </c>
      <c r="Q31" s="173">
        <f t="shared" si="17"/>
        <v>0</v>
      </c>
      <c r="R31" s="173">
        <f t="shared" si="17"/>
        <v>0</v>
      </c>
      <c r="S31" s="173">
        <f t="shared" si="17"/>
        <v>0</v>
      </c>
      <c r="T31" s="173">
        <f t="shared" si="17"/>
        <v>0</v>
      </c>
      <c r="U31" s="173">
        <f t="shared" si="17"/>
        <v>0.25</v>
      </c>
      <c r="V31" s="173">
        <f t="shared" si="17"/>
        <v>0.25</v>
      </c>
      <c r="W31" s="173">
        <f t="shared" si="17"/>
        <v>0.25</v>
      </c>
      <c r="X31" s="173">
        <f t="shared" si="17"/>
        <v>0.25</v>
      </c>
      <c r="Y31" s="173">
        <f t="shared" si="17"/>
        <v>0.25</v>
      </c>
      <c r="Z31" s="173">
        <f t="shared" si="17"/>
        <v>0.25</v>
      </c>
      <c r="AA31" s="173">
        <f t="shared" si="17"/>
        <v>0.25</v>
      </c>
      <c r="AB31" s="174">
        <f t="shared" si="17"/>
        <v>0.25</v>
      </c>
    </row>
    <row r="32" spans="1:28" x14ac:dyDescent="0.25">
      <c r="A32" s="5" t="s">
        <v>211</v>
      </c>
      <c r="B32" s="91"/>
      <c r="C32" s="165">
        <f>SUM(C28:C31)</f>
        <v>1</v>
      </c>
      <c r="D32" s="165">
        <f t="shared" ref="D32:AB32" si="18">SUM(D28:D31)</f>
        <v>1</v>
      </c>
      <c r="E32" s="165">
        <f t="shared" si="18"/>
        <v>1</v>
      </c>
      <c r="F32" s="165">
        <f t="shared" si="18"/>
        <v>1</v>
      </c>
      <c r="G32" s="165">
        <f t="shared" si="18"/>
        <v>1</v>
      </c>
      <c r="H32" s="165">
        <f t="shared" si="18"/>
        <v>0</v>
      </c>
      <c r="I32" s="165">
        <f t="shared" si="18"/>
        <v>1</v>
      </c>
      <c r="J32" s="165">
        <f t="shared" si="18"/>
        <v>1</v>
      </c>
      <c r="K32" s="165">
        <f t="shared" si="18"/>
        <v>1</v>
      </c>
      <c r="L32" s="165">
        <f t="shared" si="18"/>
        <v>1</v>
      </c>
      <c r="M32" s="165">
        <f t="shared" si="18"/>
        <v>1</v>
      </c>
      <c r="N32" s="165">
        <f t="shared" si="18"/>
        <v>1</v>
      </c>
      <c r="O32" s="165">
        <f t="shared" si="18"/>
        <v>1</v>
      </c>
      <c r="P32" s="165">
        <f t="shared" si="18"/>
        <v>1</v>
      </c>
      <c r="Q32" s="165">
        <f t="shared" si="18"/>
        <v>1</v>
      </c>
      <c r="R32" s="165">
        <f t="shared" si="18"/>
        <v>1</v>
      </c>
      <c r="S32" s="165">
        <f t="shared" si="18"/>
        <v>1</v>
      </c>
      <c r="T32" s="165">
        <f t="shared" si="18"/>
        <v>0</v>
      </c>
      <c r="U32" s="165">
        <f t="shared" si="18"/>
        <v>1</v>
      </c>
      <c r="V32" s="165">
        <f t="shared" si="18"/>
        <v>1</v>
      </c>
      <c r="W32" s="165">
        <f t="shared" si="18"/>
        <v>1</v>
      </c>
      <c r="X32" s="165">
        <f t="shared" si="18"/>
        <v>1</v>
      </c>
      <c r="Y32" s="165">
        <f t="shared" si="18"/>
        <v>1</v>
      </c>
      <c r="Z32" s="165">
        <f t="shared" si="18"/>
        <v>1</v>
      </c>
      <c r="AA32" s="165">
        <f t="shared" si="18"/>
        <v>1</v>
      </c>
      <c r="AB32" s="165">
        <f t="shared" si="18"/>
        <v>1</v>
      </c>
    </row>
    <row r="33" spans="1:2" x14ac:dyDescent="0.25">
      <c r="A33" s="6">
        <f>COUNT(C2:C7)</f>
        <v>4</v>
      </c>
    </row>
    <row r="35" spans="1:2" x14ac:dyDescent="0.25">
      <c r="A35" s="55" t="s">
        <v>30</v>
      </c>
      <c r="B35" s="55">
        <f>COUNTIF(B$2:B$7,"DISCENTE")</f>
        <v>3</v>
      </c>
    </row>
    <row r="36" spans="1:2" x14ac:dyDescent="0.25">
      <c r="A36" s="55" t="s">
        <v>29</v>
      </c>
      <c r="B36" s="55">
        <f>COUNTIF(B$2:B$7,"DOCENTE")</f>
        <v>1</v>
      </c>
    </row>
    <row r="37" spans="1:2" ht="13.8" x14ac:dyDescent="0.25">
      <c r="B37" s="56" t="str">
        <f>IF(B35+B36=A33,"Verificado","Erro")</f>
        <v>Verificado</v>
      </c>
    </row>
  </sheetData>
  <sheetProtection algorithmName="SHA-512" hashValue="VRv6zQLIyG/IRHFmHdmadOUd5wqNVPk2afErHb61N/Ap2PRO6qJFH7adDzZ6zeTIJmMSq3t15/vm89AixDs5Ng==" saltValue="iYin6VT6AeZu1fR2xqeVrg==" spinCount="100000" sheet="1" formatColumns="0" formatRows="0"/>
  <conditionalFormatting sqref="C20:G25 I20:S25 U20:AB25">
    <cfRule type="colorScale" priority="5">
      <colorScale>
        <cfvo type="min"/>
        <cfvo type="max"/>
        <color rgb="FFFCFCFF"/>
        <color rgb="FF63BE7B"/>
      </colorScale>
    </cfRule>
  </conditionalFormatting>
  <conditionalFormatting sqref="C26:G26">
    <cfRule type="iconSet" priority="10">
      <iconSet iconSet="3Flags">
        <cfvo type="percent" val="0"/>
        <cfvo type="percent" val="33"/>
        <cfvo type="percent" val="67"/>
      </iconSet>
    </cfRule>
    <cfRule type="containsText" dxfId="17" priority="11" operator="containsText" text="Conferido!">
      <formula>NOT(ISERROR(SEARCH("Conferido!",C26)))</formula>
    </cfRule>
  </conditionalFormatting>
  <conditionalFormatting sqref="C20:AB25 H26:H27 T26:T27 T33">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16"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15" priority="7" operator="containsText" text="Conferido!">
      <formula>NOT(ISERROR(SEARCH("Conferido!",U26)))</formula>
    </cfRule>
  </conditionalFormatting>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7143C-D07B-4061-93B1-03571E74989C}">
  <sheetPr codeName="Planilha13"/>
  <dimension ref="A1:AC37"/>
  <sheetViews>
    <sheetView zoomScaleNormal="60" workbookViewId="0">
      <pane ySplit="1" topLeftCell="A18" activePane="bottomLeft" state="frozen"/>
      <selection activeCell="AN69" sqref="AN69"/>
      <selection pane="bottomLeft" activeCell="A33" sqref="A33"/>
    </sheetView>
  </sheetViews>
  <sheetFormatPr defaultColWidth="8.77734375" defaultRowHeight="13.2" x14ac:dyDescent="0.25"/>
  <cols>
    <col min="1" max="1" width="19" bestFit="1" customWidth="1"/>
    <col min="2" max="2" width="54.21875" bestFit="1" customWidth="1"/>
    <col min="8" max="8" width="0" hidden="1"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44274.463447916671</v>
      </c>
      <c r="B2" s="1" t="s">
        <v>30</v>
      </c>
      <c r="C2" s="1">
        <v>4</v>
      </c>
      <c r="D2" s="1">
        <v>3</v>
      </c>
      <c r="E2" s="1">
        <v>2</v>
      </c>
      <c r="F2" s="1">
        <v>4</v>
      </c>
      <c r="G2" s="1">
        <v>4</v>
      </c>
      <c r="I2" s="1">
        <v>5</v>
      </c>
      <c r="J2" s="1">
        <v>4</v>
      </c>
      <c r="K2" s="1">
        <v>1</v>
      </c>
      <c r="L2" s="1">
        <v>4</v>
      </c>
      <c r="M2" s="1">
        <v>2</v>
      </c>
      <c r="N2" s="1">
        <v>5</v>
      </c>
      <c r="O2" s="1">
        <v>3</v>
      </c>
      <c r="P2" s="1">
        <v>2</v>
      </c>
      <c r="Q2" s="1">
        <v>5</v>
      </c>
      <c r="R2" s="1">
        <v>5</v>
      </c>
      <c r="S2" s="1">
        <v>5</v>
      </c>
      <c r="U2" s="1">
        <v>4</v>
      </c>
      <c r="V2" s="1">
        <v>5</v>
      </c>
      <c r="W2" s="1">
        <v>5</v>
      </c>
      <c r="X2" s="1">
        <v>4</v>
      </c>
      <c r="Y2" s="1">
        <v>2</v>
      </c>
      <c r="Z2" s="1">
        <v>4</v>
      </c>
      <c r="AA2" s="1">
        <v>0</v>
      </c>
      <c r="AB2" s="1">
        <v>4</v>
      </c>
    </row>
    <row r="3" spans="1:29" x14ac:dyDescent="0.25">
      <c r="A3" s="2">
        <v>44274.472318842592</v>
      </c>
      <c r="B3" s="1" t="s">
        <v>30</v>
      </c>
      <c r="C3" s="1">
        <v>5</v>
      </c>
      <c r="D3" s="1">
        <v>5</v>
      </c>
      <c r="E3" s="1">
        <v>5</v>
      </c>
      <c r="F3" s="1">
        <v>5</v>
      </c>
      <c r="G3" s="1">
        <v>5</v>
      </c>
      <c r="I3" s="1">
        <v>5</v>
      </c>
      <c r="J3" s="1">
        <v>5</v>
      </c>
      <c r="K3" s="1">
        <v>5</v>
      </c>
      <c r="L3" s="1">
        <v>5</v>
      </c>
      <c r="M3" s="1">
        <v>5</v>
      </c>
      <c r="N3" s="1">
        <v>5</v>
      </c>
      <c r="O3" s="1">
        <v>5</v>
      </c>
      <c r="P3" s="1">
        <v>5</v>
      </c>
      <c r="Q3" s="1">
        <v>5</v>
      </c>
      <c r="R3" s="1">
        <v>5</v>
      </c>
      <c r="S3" s="1">
        <v>5</v>
      </c>
      <c r="U3" s="1">
        <v>5</v>
      </c>
      <c r="V3" s="1">
        <v>5</v>
      </c>
      <c r="W3" s="1">
        <v>5</v>
      </c>
      <c r="X3" s="1">
        <v>5</v>
      </c>
      <c r="Y3" s="1">
        <v>5</v>
      </c>
      <c r="Z3" s="1">
        <v>5</v>
      </c>
      <c r="AA3" s="1">
        <v>5</v>
      </c>
      <c r="AB3" s="1">
        <v>5</v>
      </c>
    </row>
    <row r="4" spans="1:29" x14ac:dyDescent="0.25">
      <c r="A4" s="2">
        <v>44274.491224606478</v>
      </c>
      <c r="B4" s="1" t="s">
        <v>30</v>
      </c>
      <c r="C4" s="1">
        <v>5</v>
      </c>
      <c r="D4" s="1">
        <v>5</v>
      </c>
      <c r="E4" s="1">
        <v>5</v>
      </c>
      <c r="F4" s="1">
        <v>2</v>
      </c>
      <c r="G4" s="1">
        <v>5</v>
      </c>
      <c r="I4" s="1">
        <v>4</v>
      </c>
      <c r="J4" s="1">
        <v>5</v>
      </c>
      <c r="K4" s="1">
        <v>3</v>
      </c>
      <c r="L4" s="1">
        <v>5</v>
      </c>
      <c r="M4" s="1">
        <v>5</v>
      </c>
      <c r="N4" s="1">
        <v>4</v>
      </c>
      <c r="O4" s="1">
        <v>2</v>
      </c>
      <c r="P4" s="1">
        <v>1</v>
      </c>
      <c r="Q4" s="1">
        <v>5</v>
      </c>
      <c r="R4" s="1">
        <v>5</v>
      </c>
      <c r="S4" s="1">
        <v>5</v>
      </c>
      <c r="U4" s="1">
        <v>4</v>
      </c>
      <c r="V4" s="1">
        <v>4</v>
      </c>
      <c r="W4" s="1">
        <v>5</v>
      </c>
      <c r="X4" s="1">
        <v>2</v>
      </c>
      <c r="Y4" s="1">
        <v>2</v>
      </c>
      <c r="Z4" s="1">
        <v>4</v>
      </c>
      <c r="AA4" s="1">
        <v>0</v>
      </c>
      <c r="AB4" s="1">
        <v>5</v>
      </c>
    </row>
    <row r="5" spans="1:29" x14ac:dyDescent="0.25">
      <c r="A5" s="2">
        <v>44276.447154282403</v>
      </c>
      <c r="B5" s="1" t="s">
        <v>30</v>
      </c>
      <c r="C5" s="1">
        <v>4</v>
      </c>
      <c r="D5" s="1">
        <v>5</v>
      </c>
      <c r="E5" s="1">
        <v>5</v>
      </c>
      <c r="F5" s="1">
        <v>4</v>
      </c>
      <c r="G5" s="1">
        <v>5</v>
      </c>
      <c r="I5" s="1">
        <v>4</v>
      </c>
      <c r="J5" s="1">
        <v>5</v>
      </c>
      <c r="K5" s="1">
        <v>4</v>
      </c>
      <c r="L5" s="1">
        <v>5</v>
      </c>
      <c r="M5" s="1">
        <v>5</v>
      </c>
      <c r="N5" s="1">
        <v>5</v>
      </c>
      <c r="O5" s="1">
        <v>5</v>
      </c>
      <c r="P5" s="1">
        <v>4</v>
      </c>
      <c r="Q5" s="1">
        <v>4</v>
      </c>
      <c r="R5" s="1">
        <v>3</v>
      </c>
      <c r="S5" s="1">
        <v>3</v>
      </c>
      <c r="U5" s="1">
        <v>4</v>
      </c>
      <c r="V5" s="1">
        <v>5</v>
      </c>
      <c r="W5" s="1">
        <v>5</v>
      </c>
      <c r="X5" s="1">
        <v>4</v>
      </c>
      <c r="Y5" s="1">
        <v>3</v>
      </c>
      <c r="Z5" s="1">
        <v>3</v>
      </c>
      <c r="AA5" s="1">
        <v>4</v>
      </c>
      <c r="AB5" s="1">
        <v>3</v>
      </c>
    </row>
    <row r="6" spans="1:29" x14ac:dyDescent="0.25">
      <c r="A6" s="2">
        <v>44277.579504733796</v>
      </c>
      <c r="B6" s="1" t="s">
        <v>30</v>
      </c>
      <c r="C6" s="1">
        <v>5</v>
      </c>
      <c r="D6" s="1">
        <v>5</v>
      </c>
      <c r="E6" s="1">
        <v>5</v>
      </c>
      <c r="F6" s="1">
        <v>5</v>
      </c>
      <c r="G6" s="1">
        <v>5</v>
      </c>
      <c r="I6" s="1">
        <v>5</v>
      </c>
      <c r="J6" s="1">
        <v>5</v>
      </c>
      <c r="K6" s="1">
        <v>5</v>
      </c>
      <c r="L6" s="1">
        <v>5</v>
      </c>
      <c r="M6" s="1">
        <v>5</v>
      </c>
      <c r="N6" s="1">
        <v>5</v>
      </c>
      <c r="O6" s="1">
        <v>5</v>
      </c>
      <c r="P6" s="1">
        <v>5</v>
      </c>
      <c r="Q6" s="1">
        <v>5</v>
      </c>
      <c r="R6" s="1">
        <v>5</v>
      </c>
      <c r="S6" s="1">
        <v>5</v>
      </c>
      <c r="U6" s="1">
        <v>5</v>
      </c>
      <c r="V6" s="1">
        <v>5</v>
      </c>
      <c r="W6" s="1">
        <v>5</v>
      </c>
      <c r="X6" s="1">
        <v>3</v>
      </c>
      <c r="Y6" s="1">
        <v>5</v>
      </c>
      <c r="Z6" s="1">
        <v>5</v>
      </c>
      <c r="AA6" s="1">
        <v>5</v>
      </c>
      <c r="AB6" s="1">
        <v>0</v>
      </c>
    </row>
    <row r="7" spans="1:29" x14ac:dyDescent="0.25">
      <c r="A7" s="2">
        <v>44279.409059108795</v>
      </c>
      <c r="B7" s="1" t="s">
        <v>30</v>
      </c>
      <c r="C7" s="1">
        <v>0</v>
      </c>
      <c r="D7" s="1">
        <v>0</v>
      </c>
      <c r="E7" s="1">
        <v>0</v>
      </c>
      <c r="F7" s="1">
        <v>0</v>
      </c>
      <c r="G7" s="1">
        <v>0</v>
      </c>
      <c r="I7" s="1">
        <v>0</v>
      </c>
      <c r="J7" s="1">
        <v>0</v>
      </c>
      <c r="K7" s="1">
        <v>0</v>
      </c>
      <c r="L7" s="1">
        <v>0</v>
      </c>
      <c r="M7" s="1">
        <v>0</v>
      </c>
      <c r="N7" s="1">
        <v>0</v>
      </c>
      <c r="O7" s="1">
        <v>0</v>
      </c>
      <c r="P7" s="1">
        <v>0</v>
      </c>
      <c r="Q7" s="1">
        <v>0</v>
      </c>
      <c r="R7" s="1">
        <v>0</v>
      </c>
      <c r="S7" s="1">
        <v>0</v>
      </c>
      <c r="U7" s="1">
        <v>0</v>
      </c>
      <c r="V7" s="1">
        <v>0</v>
      </c>
      <c r="W7" s="1">
        <v>0</v>
      </c>
      <c r="X7" s="1">
        <v>0</v>
      </c>
      <c r="Y7" s="1">
        <v>0</v>
      </c>
      <c r="Z7" s="1">
        <v>0</v>
      </c>
      <c r="AA7" s="1">
        <v>0</v>
      </c>
      <c r="AB7" s="1">
        <v>0</v>
      </c>
    </row>
    <row r="8" spans="1:29" x14ac:dyDescent="0.25">
      <c r="A8" s="2">
        <v>44293.273204432873</v>
      </c>
      <c r="B8" s="1" t="s">
        <v>30</v>
      </c>
      <c r="C8" s="1">
        <v>4</v>
      </c>
      <c r="D8" s="1">
        <v>5</v>
      </c>
      <c r="E8" s="1">
        <v>4</v>
      </c>
      <c r="F8" s="1">
        <v>4</v>
      </c>
      <c r="G8" s="1">
        <v>4</v>
      </c>
      <c r="I8" s="1">
        <v>5</v>
      </c>
      <c r="J8" s="1">
        <v>5</v>
      </c>
      <c r="K8" s="1">
        <v>4</v>
      </c>
      <c r="L8" s="1">
        <v>5</v>
      </c>
      <c r="M8" s="1">
        <v>4</v>
      </c>
      <c r="N8" s="1">
        <v>5</v>
      </c>
      <c r="O8" s="1">
        <v>5</v>
      </c>
      <c r="P8" s="1">
        <v>3</v>
      </c>
      <c r="Q8" s="1">
        <v>5</v>
      </c>
      <c r="R8" s="1">
        <v>5</v>
      </c>
      <c r="S8" s="1">
        <v>4</v>
      </c>
      <c r="U8" s="1">
        <v>4</v>
      </c>
      <c r="V8" s="1">
        <v>5</v>
      </c>
      <c r="W8" s="1">
        <v>5</v>
      </c>
      <c r="X8" s="1">
        <v>4</v>
      </c>
      <c r="Y8" s="1">
        <v>5</v>
      </c>
      <c r="Z8" s="1">
        <v>4</v>
      </c>
      <c r="AA8" s="1">
        <v>0</v>
      </c>
      <c r="AB8" s="1">
        <v>4</v>
      </c>
    </row>
    <row r="9" spans="1:29" ht="15.75" customHeight="1" x14ac:dyDescent="0.25">
      <c r="A9" s="175">
        <v>44302.971327662039</v>
      </c>
      <c r="B9" s="176" t="s">
        <v>29</v>
      </c>
      <c r="C9" s="176">
        <v>3</v>
      </c>
      <c r="D9" s="176">
        <v>4</v>
      </c>
      <c r="E9" s="176">
        <v>5</v>
      </c>
      <c r="F9" s="176">
        <v>4</v>
      </c>
      <c r="G9" s="176">
        <v>5</v>
      </c>
      <c r="I9" s="176">
        <v>5</v>
      </c>
      <c r="J9" s="176">
        <v>4</v>
      </c>
      <c r="K9" s="176">
        <v>4</v>
      </c>
      <c r="L9" s="176">
        <v>4</v>
      </c>
      <c r="M9" s="176">
        <v>4</v>
      </c>
      <c r="N9" s="176">
        <v>5</v>
      </c>
      <c r="O9" s="176">
        <v>3</v>
      </c>
      <c r="P9" s="176">
        <v>3</v>
      </c>
      <c r="Q9" s="176">
        <v>5</v>
      </c>
      <c r="R9" s="176">
        <v>5</v>
      </c>
      <c r="S9" s="176">
        <v>5</v>
      </c>
      <c r="U9" s="176">
        <v>0</v>
      </c>
      <c r="V9" s="176">
        <v>0</v>
      </c>
      <c r="W9" s="176">
        <v>0</v>
      </c>
      <c r="X9" s="176">
        <v>0</v>
      </c>
      <c r="Y9" s="176">
        <v>0</v>
      </c>
      <c r="Z9" s="176">
        <v>0</v>
      </c>
      <c r="AA9" s="176">
        <v>0</v>
      </c>
      <c r="AB9" s="176">
        <v>0</v>
      </c>
    </row>
    <row r="19" spans="1:28" ht="15.75" customHeight="1"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ht="15.75" customHeight="1" x14ac:dyDescent="0.25">
      <c r="B20" s="10" t="str">
        <f>'Dashboard-1-AVALIAÇÃO INST.'!$A$21</f>
        <v>5-ÓTIMO</v>
      </c>
      <c r="C20" s="7">
        <f>COUNTIFS(C$2:C$18,5)/$A$33</f>
        <v>0.375</v>
      </c>
      <c r="D20" s="7">
        <f>COUNTIFS(D$2:D$18,5)/$A$33</f>
        <v>0.625</v>
      </c>
      <c r="E20" s="7">
        <f>COUNTIFS(E$2:E$18,5)/$A$33</f>
        <v>0.625</v>
      </c>
      <c r="F20" s="7">
        <f>COUNTIFS(F$2:F$18,5)/$A$33</f>
        <v>0.25</v>
      </c>
      <c r="G20" s="7">
        <f>COUNTIFS(G$2:G$18,5)/$A$33</f>
        <v>0.625</v>
      </c>
      <c r="I20" s="7">
        <f t="shared" ref="I20:S20" si="0">COUNTIFS(I$2:I$18,5)/$A$33</f>
        <v>0.625</v>
      </c>
      <c r="J20" s="7">
        <f t="shared" si="0"/>
        <v>0.625</v>
      </c>
      <c r="K20" s="7">
        <f t="shared" si="0"/>
        <v>0.25</v>
      </c>
      <c r="L20" s="7">
        <f t="shared" si="0"/>
        <v>0.625</v>
      </c>
      <c r="M20" s="7">
        <f t="shared" si="0"/>
        <v>0.5</v>
      </c>
      <c r="N20" s="7">
        <f t="shared" si="0"/>
        <v>0.75</v>
      </c>
      <c r="O20" s="7">
        <f t="shared" si="0"/>
        <v>0.5</v>
      </c>
      <c r="P20" s="7">
        <f t="shared" si="0"/>
        <v>0.25</v>
      </c>
      <c r="Q20" s="7">
        <f t="shared" si="0"/>
        <v>0.75</v>
      </c>
      <c r="R20" s="7">
        <f t="shared" si="0"/>
        <v>0.75</v>
      </c>
      <c r="S20" s="7">
        <f t="shared" si="0"/>
        <v>0.625</v>
      </c>
      <c r="U20" s="7">
        <f t="shared" ref="U20:AB20" si="1">COUNTIFS(U$2:U$18,5)/$A$33</f>
        <v>0.25</v>
      </c>
      <c r="V20" s="7">
        <f t="shared" si="1"/>
        <v>0.625</v>
      </c>
      <c r="W20" s="7">
        <f t="shared" si="1"/>
        <v>0.75</v>
      </c>
      <c r="X20" s="7">
        <f t="shared" si="1"/>
        <v>0.125</v>
      </c>
      <c r="Y20" s="7">
        <f t="shared" si="1"/>
        <v>0.375</v>
      </c>
      <c r="Z20" s="7">
        <f t="shared" si="1"/>
        <v>0.25</v>
      </c>
      <c r="AA20" s="7">
        <f t="shared" si="1"/>
        <v>0.25</v>
      </c>
      <c r="AB20" s="7">
        <f t="shared" si="1"/>
        <v>0.25</v>
      </c>
    </row>
    <row r="21" spans="1:28" ht="15.75" customHeight="1" x14ac:dyDescent="0.25">
      <c r="B21" s="10" t="str">
        <f>'Dashboard-1-AVALIAÇÃO INST.'!$A$22</f>
        <v>4-MUITO BOM</v>
      </c>
      <c r="C21" s="7">
        <f>COUNTIFS(C$2:C$18,4)/$A$33</f>
        <v>0.375</v>
      </c>
      <c r="D21" s="7">
        <f>COUNTIFS(D$2:D$18,4)/$A$33</f>
        <v>0.125</v>
      </c>
      <c r="E21" s="7">
        <f>COUNTIFS(E$2:E$18,4)/$A$33</f>
        <v>0.125</v>
      </c>
      <c r="F21" s="7">
        <f>COUNTIFS(F$2:F$18,4)/$A$33</f>
        <v>0.5</v>
      </c>
      <c r="G21" s="7">
        <f>COUNTIFS(G$2:G$18,4)/$A$33</f>
        <v>0.25</v>
      </c>
      <c r="I21" s="7">
        <f t="shared" ref="I21:S21" si="2">COUNTIFS(I$2:I$18,4)/$A$33</f>
        <v>0.25</v>
      </c>
      <c r="J21" s="7">
        <f t="shared" si="2"/>
        <v>0.25</v>
      </c>
      <c r="K21" s="7">
        <f t="shared" si="2"/>
        <v>0.375</v>
      </c>
      <c r="L21" s="7">
        <f t="shared" si="2"/>
        <v>0.25</v>
      </c>
      <c r="M21" s="7">
        <f t="shared" si="2"/>
        <v>0.25</v>
      </c>
      <c r="N21" s="7">
        <f t="shared" si="2"/>
        <v>0.125</v>
      </c>
      <c r="O21" s="7">
        <f t="shared" si="2"/>
        <v>0</v>
      </c>
      <c r="P21" s="7">
        <f t="shared" si="2"/>
        <v>0.125</v>
      </c>
      <c r="Q21" s="7">
        <f t="shared" si="2"/>
        <v>0.125</v>
      </c>
      <c r="R21" s="7">
        <f t="shared" si="2"/>
        <v>0</v>
      </c>
      <c r="S21" s="7">
        <f t="shared" si="2"/>
        <v>0.125</v>
      </c>
      <c r="U21" s="7">
        <f t="shared" ref="U21:AB21" si="3">COUNTIFS(U$2:U$18,4)/$A$33</f>
        <v>0.5</v>
      </c>
      <c r="V21" s="7">
        <f t="shared" si="3"/>
        <v>0.125</v>
      </c>
      <c r="W21" s="7">
        <f t="shared" si="3"/>
        <v>0</v>
      </c>
      <c r="X21" s="7">
        <f t="shared" si="3"/>
        <v>0.375</v>
      </c>
      <c r="Y21" s="7">
        <f t="shared" si="3"/>
        <v>0</v>
      </c>
      <c r="Z21" s="7">
        <f t="shared" si="3"/>
        <v>0.375</v>
      </c>
      <c r="AA21" s="7">
        <f t="shared" si="3"/>
        <v>0.125</v>
      </c>
      <c r="AB21" s="7">
        <f t="shared" si="3"/>
        <v>0.25</v>
      </c>
    </row>
    <row r="22" spans="1:28" ht="15.75" customHeight="1" x14ac:dyDescent="0.25">
      <c r="B22" s="10" t="str">
        <f>'Dashboard-1-AVALIAÇÃO INST.'!$A$23</f>
        <v>3-BOM</v>
      </c>
      <c r="C22" s="7">
        <f>COUNTIFS(C$2:C$18,3)/$A$33</f>
        <v>0.125</v>
      </c>
      <c r="D22" s="7">
        <f>COUNTIFS(D$2:D$18,3)/$A$33</f>
        <v>0.125</v>
      </c>
      <c r="E22" s="7">
        <f>COUNTIFS(E$2:E$18,3)/$A$33</f>
        <v>0</v>
      </c>
      <c r="F22" s="7">
        <f>COUNTIFS(F$2:F$18,3)/$A$33</f>
        <v>0</v>
      </c>
      <c r="G22" s="7">
        <f>COUNTIFS(G$2:G$18,3)/$A$33</f>
        <v>0</v>
      </c>
      <c r="I22" s="7">
        <f t="shared" ref="I22:S22" si="4">COUNTIFS(I$2:I$18,3)/$A$33</f>
        <v>0</v>
      </c>
      <c r="J22" s="7">
        <f t="shared" si="4"/>
        <v>0</v>
      </c>
      <c r="K22" s="7">
        <f t="shared" si="4"/>
        <v>0.125</v>
      </c>
      <c r="L22" s="7">
        <f t="shared" si="4"/>
        <v>0</v>
      </c>
      <c r="M22" s="7">
        <f t="shared" si="4"/>
        <v>0</v>
      </c>
      <c r="N22" s="7">
        <f t="shared" si="4"/>
        <v>0</v>
      </c>
      <c r="O22" s="7">
        <f t="shared" si="4"/>
        <v>0.25</v>
      </c>
      <c r="P22" s="7">
        <f t="shared" si="4"/>
        <v>0.25</v>
      </c>
      <c r="Q22" s="7">
        <f t="shared" si="4"/>
        <v>0</v>
      </c>
      <c r="R22" s="7">
        <f t="shared" si="4"/>
        <v>0.125</v>
      </c>
      <c r="S22" s="7">
        <f t="shared" si="4"/>
        <v>0.125</v>
      </c>
      <c r="U22" s="7">
        <f t="shared" ref="U22:AB22" si="5">COUNTIFS(U$2:U$18,3)/$A$33</f>
        <v>0</v>
      </c>
      <c r="V22" s="7">
        <f t="shared" si="5"/>
        <v>0</v>
      </c>
      <c r="W22" s="7">
        <f t="shared" si="5"/>
        <v>0</v>
      </c>
      <c r="X22" s="7">
        <f t="shared" si="5"/>
        <v>0.125</v>
      </c>
      <c r="Y22" s="7">
        <f t="shared" si="5"/>
        <v>0.125</v>
      </c>
      <c r="Z22" s="7">
        <f t="shared" si="5"/>
        <v>0.125</v>
      </c>
      <c r="AA22" s="7">
        <f t="shared" si="5"/>
        <v>0</v>
      </c>
      <c r="AB22" s="7">
        <f t="shared" si="5"/>
        <v>0.125</v>
      </c>
    </row>
    <row r="23" spans="1:28" ht="15.75" customHeight="1" x14ac:dyDescent="0.25">
      <c r="B23" s="10" t="str">
        <f>'Dashboard-1-AVALIAÇÃO INST.'!$A$24</f>
        <v>2-REGULAR</v>
      </c>
      <c r="C23" s="7">
        <f>COUNTIFS(C$2:C$18,2)/$A$33</f>
        <v>0</v>
      </c>
      <c r="D23" s="7">
        <f>COUNTIFS(D$2:D$18,2)/$A$33</f>
        <v>0</v>
      </c>
      <c r="E23" s="7">
        <f>COUNTIFS(E$2:E$18,2)/$A$33</f>
        <v>0.125</v>
      </c>
      <c r="F23" s="7">
        <f>COUNTIFS(F$2:F$18,2)/$A$33</f>
        <v>0.125</v>
      </c>
      <c r="G23" s="7">
        <f>COUNTIFS(G$2:G$18,2)/$A$33</f>
        <v>0</v>
      </c>
      <c r="I23" s="7">
        <f t="shared" ref="I23:S23" si="6">COUNTIFS(I$2:I$18,2)/$A$33</f>
        <v>0</v>
      </c>
      <c r="J23" s="7">
        <f t="shared" si="6"/>
        <v>0</v>
      </c>
      <c r="K23" s="7">
        <f t="shared" si="6"/>
        <v>0</v>
      </c>
      <c r="L23" s="7">
        <f t="shared" si="6"/>
        <v>0</v>
      </c>
      <c r="M23" s="7">
        <f t="shared" si="6"/>
        <v>0.125</v>
      </c>
      <c r="N23" s="7">
        <f t="shared" si="6"/>
        <v>0</v>
      </c>
      <c r="O23" s="7">
        <f t="shared" si="6"/>
        <v>0.125</v>
      </c>
      <c r="P23" s="7">
        <f t="shared" si="6"/>
        <v>0.125</v>
      </c>
      <c r="Q23" s="7">
        <f t="shared" si="6"/>
        <v>0</v>
      </c>
      <c r="R23" s="7">
        <f t="shared" si="6"/>
        <v>0</v>
      </c>
      <c r="S23" s="7">
        <f t="shared" si="6"/>
        <v>0</v>
      </c>
      <c r="U23" s="7">
        <f t="shared" ref="U23:AB23" si="7">COUNTIFS(U$2:U$18,2)/$A$33</f>
        <v>0</v>
      </c>
      <c r="V23" s="7">
        <f t="shared" si="7"/>
        <v>0</v>
      </c>
      <c r="W23" s="7">
        <f t="shared" si="7"/>
        <v>0</v>
      </c>
      <c r="X23" s="7">
        <f t="shared" si="7"/>
        <v>0.125</v>
      </c>
      <c r="Y23" s="7">
        <f t="shared" si="7"/>
        <v>0.25</v>
      </c>
      <c r="Z23" s="7">
        <f t="shared" si="7"/>
        <v>0</v>
      </c>
      <c r="AA23" s="7">
        <f t="shared" si="7"/>
        <v>0</v>
      </c>
      <c r="AB23" s="7">
        <f t="shared" si="7"/>
        <v>0</v>
      </c>
    </row>
    <row r="24" spans="1:28" ht="15.75" customHeight="1" x14ac:dyDescent="0.25">
      <c r="B24" s="10" t="str">
        <f>'Dashboard-1-AVALIAÇÃO INST.'!$A$25</f>
        <v>1-RUIM</v>
      </c>
      <c r="C24" s="7">
        <f>COUNTIFS(C$2:C$18,1)/$A$33</f>
        <v>0</v>
      </c>
      <c r="D24" s="7">
        <f>COUNTIFS(D$2:D$18,1)/$A$33</f>
        <v>0</v>
      </c>
      <c r="E24" s="7">
        <f>COUNTIFS(E$2:E$18,1)/$A$33</f>
        <v>0</v>
      </c>
      <c r="F24" s="7">
        <f>COUNTIFS(F$2:F$18,1)/$A$33</f>
        <v>0</v>
      </c>
      <c r="G24" s="7">
        <f>COUNTIFS(G$2:G$18,1)/$A$33</f>
        <v>0</v>
      </c>
      <c r="I24" s="7">
        <f t="shared" ref="I24:S24" si="8">COUNTIFS(I$2:I$18,1)/$A$33</f>
        <v>0</v>
      </c>
      <c r="J24" s="7">
        <f t="shared" si="8"/>
        <v>0</v>
      </c>
      <c r="K24" s="7">
        <f t="shared" si="8"/>
        <v>0.125</v>
      </c>
      <c r="L24" s="7">
        <f t="shared" si="8"/>
        <v>0</v>
      </c>
      <c r="M24" s="7">
        <f t="shared" si="8"/>
        <v>0</v>
      </c>
      <c r="N24" s="7">
        <f t="shared" si="8"/>
        <v>0</v>
      </c>
      <c r="O24" s="7">
        <f t="shared" si="8"/>
        <v>0</v>
      </c>
      <c r="P24" s="7">
        <f t="shared" si="8"/>
        <v>0.125</v>
      </c>
      <c r="Q24" s="7">
        <f t="shared" si="8"/>
        <v>0</v>
      </c>
      <c r="R24" s="7">
        <f t="shared" si="8"/>
        <v>0</v>
      </c>
      <c r="S24" s="7">
        <f t="shared" si="8"/>
        <v>0</v>
      </c>
      <c r="U24" s="7">
        <f t="shared" ref="U24:AB24" si="9">COUNTIFS(U$2:U$18,1)/$A$33</f>
        <v>0</v>
      </c>
      <c r="V24" s="7">
        <f t="shared" si="9"/>
        <v>0</v>
      </c>
      <c r="W24" s="7">
        <f t="shared" si="9"/>
        <v>0</v>
      </c>
      <c r="X24" s="7">
        <f t="shared" si="9"/>
        <v>0</v>
      </c>
      <c r="Y24" s="7">
        <f t="shared" si="9"/>
        <v>0</v>
      </c>
      <c r="Z24" s="7">
        <f t="shared" si="9"/>
        <v>0</v>
      </c>
      <c r="AA24" s="7">
        <f t="shared" si="9"/>
        <v>0</v>
      </c>
      <c r="AB24" s="7">
        <f t="shared" si="9"/>
        <v>0</v>
      </c>
    </row>
    <row r="25" spans="1:28" ht="15.75" customHeight="1" x14ac:dyDescent="0.25">
      <c r="B25" s="10" t="str">
        <f>'Dashboard-1-AVALIAÇÃO INST.'!$A$26</f>
        <v>0-NÃO SE APLICA</v>
      </c>
      <c r="C25" s="7">
        <f>COUNTIFS(C$2:C$18,0)/$A$33</f>
        <v>0.125</v>
      </c>
      <c r="D25" s="7">
        <f>COUNTIFS(D$2:D$18,0)/$A$33</f>
        <v>0.125</v>
      </c>
      <c r="E25" s="7">
        <f>COUNTIFS(E$2:E$18,0)/$A$33</f>
        <v>0.125</v>
      </c>
      <c r="F25" s="7">
        <f>COUNTIFS(F$2:F$18,0)/$A$33</f>
        <v>0.125</v>
      </c>
      <c r="G25" s="7">
        <f>COUNTIFS(G$2:G$18,0)/$A$33</f>
        <v>0.125</v>
      </c>
      <c r="I25" s="7">
        <f t="shared" ref="I25:S25" si="10">COUNTIFS(I$2:I$18,0)/$A$33</f>
        <v>0.125</v>
      </c>
      <c r="J25" s="7">
        <f t="shared" si="10"/>
        <v>0.125</v>
      </c>
      <c r="K25" s="7">
        <f t="shared" si="10"/>
        <v>0.125</v>
      </c>
      <c r="L25" s="7">
        <f t="shared" si="10"/>
        <v>0.125</v>
      </c>
      <c r="M25" s="7">
        <f t="shared" si="10"/>
        <v>0.125</v>
      </c>
      <c r="N25" s="7">
        <f t="shared" si="10"/>
        <v>0.125</v>
      </c>
      <c r="O25" s="7">
        <f t="shared" si="10"/>
        <v>0.125</v>
      </c>
      <c r="P25" s="7">
        <f t="shared" si="10"/>
        <v>0.125</v>
      </c>
      <c r="Q25" s="7">
        <f t="shared" si="10"/>
        <v>0.125</v>
      </c>
      <c r="R25" s="7">
        <f t="shared" si="10"/>
        <v>0.125</v>
      </c>
      <c r="S25" s="7">
        <f t="shared" si="10"/>
        <v>0.125</v>
      </c>
      <c r="U25" s="7">
        <f t="shared" ref="U25:AB25" si="11">COUNTIFS(U$2:U$18,0)/$A$33</f>
        <v>0.25</v>
      </c>
      <c r="V25" s="7">
        <f t="shared" si="11"/>
        <v>0.25</v>
      </c>
      <c r="W25" s="7">
        <f t="shared" si="11"/>
        <v>0.25</v>
      </c>
      <c r="X25" s="7">
        <f t="shared" si="11"/>
        <v>0.25</v>
      </c>
      <c r="Y25" s="7">
        <f t="shared" si="11"/>
        <v>0.25</v>
      </c>
      <c r="Z25" s="7">
        <f t="shared" si="11"/>
        <v>0.25</v>
      </c>
      <c r="AA25" s="7">
        <f t="shared" si="11"/>
        <v>0.625</v>
      </c>
      <c r="AB25" s="7">
        <f t="shared" si="11"/>
        <v>0.375</v>
      </c>
    </row>
    <row r="26" spans="1:28" ht="15.75" customHeight="1"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0.75</v>
      </c>
      <c r="D28" s="170">
        <f t="shared" ref="D28:AB28" si="14">D20+D21</f>
        <v>0.75</v>
      </c>
      <c r="E28" s="170">
        <f t="shared" si="14"/>
        <v>0.75</v>
      </c>
      <c r="F28" s="170">
        <f t="shared" si="14"/>
        <v>0.75</v>
      </c>
      <c r="G28" s="170">
        <f t="shared" si="14"/>
        <v>0.875</v>
      </c>
      <c r="H28" s="170">
        <f t="shared" si="14"/>
        <v>0</v>
      </c>
      <c r="I28" s="170">
        <f t="shared" si="14"/>
        <v>0.875</v>
      </c>
      <c r="J28" s="170">
        <f t="shared" si="14"/>
        <v>0.875</v>
      </c>
      <c r="K28" s="170">
        <f t="shared" si="14"/>
        <v>0.625</v>
      </c>
      <c r="L28" s="170">
        <f t="shared" si="14"/>
        <v>0.875</v>
      </c>
      <c r="M28" s="170">
        <f t="shared" si="14"/>
        <v>0.75</v>
      </c>
      <c r="N28" s="170">
        <f t="shared" si="14"/>
        <v>0.875</v>
      </c>
      <c r="O28" s="170">
        <f t="shared" si="14"/>
        <v>0.5</v>
      </c>
      <c r="P28" s="170">
        <f t="shared" si="14"/>
        <v>0.375</v>
      </c>
      <c r="Q28" s="170">
        <f t="shared" si="14"/>
        <v>0.875</v>
      </c>
      <c r="R28" s="170">
        <f t="shared" si="14"/>
        <v>0.75</v>
      </c>
      <c r="S28" s="170">
        <f t="shared" si="14"/>
        <v>0.75</v>
      </c>
      <c r="T28" s="170">
        <f t="shared" si="14"/>
        <v>0</v>
      </c>
      <c r="U28" s="170">
        <f t="shared" si="14"/>
        <v>0.75</v>
      </c>
      <c r="V28" s="170">
        <f t="shared" si="14"/>
        <v>0.75</v>
      </c>
      <c r="W28" s="170">
        <f t="shared" si="14"/>
        <v>0.75</v>
      </c>
      <c r="X28" s="170">
        <f t="shared" si="14"/>
        <v>0.5</v>
      </c>
      <c r="Y28" s="170">
        <f t="shared" si="14"/>
        <v>0.375</v>
      </c>
      <c r="Z28" s="170">
        <f t="shared" si="14"/>
        <v>0.625</v>
      </c>
      <c r="AA28" s="170">
        <f t="shared" si="14"/>
        <v>0.375</v>
      </c>
      <c r="AB28" s="166">
        <f t="shared" si="14"/>
        <v>0.5</v>
      </c>
    </row>
    <row r="29" spans="1:28" ht="15.6" x14ac:dyDescent="0.3">
      <c r="B29" s="110" t="str">
        <f>'Dashboard-1-AVALIAÇÃO INST.'!$A$30</f>
        <v>BOM</v>
      </c>
      <c r="C29" s="171">
        <f>C22</f>
        <v>0.125</v>
      </c>
      <c r="D29" s="168">
        <f t="shared" ref="D29:AB29" si="15">D22</f>
        <v>0.125</v>
      </c>
      <c r="E29" s="168">
        <f t="shared" si="15"/>
        <v>0</v>
      </c>
      <c r="F29" s="168">
        <f t="shared" si="15"/>
        <v>0</v>
      </c>
      <c r="G29" s="168">
        <f t="shared" si="15"/>
        <v>0</v>
      </c>
      <c r="H29" s="168">
        <f t="shared" si="15"/>
        <v>0</v>
      </c>
      <c r="I29" s="168">
        <f t="shared" si="15"/>
        <v>0</v>
      </c>
      <c r="J29" s="168">
        <f t="shared" si="15"/>
        <v>0</v>
      </c>
      <c r="K29" s="168">
        <f t="shared" si="15"/>
        <v>0.125</v>
      </c>
      <c r="L29" s="168">
        <f t="shared" si="15"/>
        <v>0</v>
      </c>
      <c r="M29" s="168">
        <f t="shared" si="15"/>
        <v>0</v>
      </c>
      <c r="N29" s="168">
        <f t="shared" si="15"/>
        <v>0</v>
      </c>
      <c r="O29" s="168">
        <f t="shared" si="15"/>
        <v>0.25</v>
      </c>
      <c r="P29" s="168">
        <f t="shared" si="15"/>
        <v>0.25</v>
      </c>
      <c r="Q29" s="168">
        <f t="shared" si="15"/>
        <v>0</v>
      </c>
      <c r="R29" s="168">
        <f t="shared" si="15"/>
        <v>0.125</v>
      </c>
      <c r="S29" s="168">
        <f t="shared" si="15"/>
        <v>0.125</v>
      </c>
      <c r="T29" s="168">
        <f t="shared" si="15"/>
        <v>0</v>
      </c>
      <c r="U29" s="168">
        <f t="shared" si="15"/>
        <v>0</v>
      </c>
      <c r="V29" s="168">
        <f t="shared" si="15"/>
        <v>0</v>
      </c>
      <c r="W29" s="168">
        <f t="shared" si="15"/>
        <v>0</v>
      </c>
      <c r="X29" s="168">
        <f t="shared" si="15"/>
        <v>0.125</v>
      </c>
      <c r="Y29" s="168">
        <f t="shared" si="15"/>
        <v>0.125</v>
      </c>
      <c r="Z29" s="168">
        <f t="shared" si="15"/>
        <v>0.125</v>
      </c>
      <c r="AA29" s="168">
        <f t="shared" si="15"/>
        <v>0</v>
      </c>
      <c r="AB29" s="167">
        <f t="shared" si="15"/>
        <v>0.125</v>
      </c>
    </row>
    <row r="30" spans="1:28" ht="15.6" x14ac:dyDescent="0.3">
      <c r="B30" s="110" t="str">
        <f>'Dashboard-1-AVALIAÇÃO INST.'!$A$31</f>
        <v>RUIM / REGULAR</v>
      </c>
      <c r="C30" s="171">
        <f>C23+C24</f>
        <v>0</v>
      </c>
      <c r="D30" s="168">
        <f t="shared" ref="D30:AB30" si="16">D23+D24</f>
        <v>0</v>
      </c>
      <c r="E30" s="168">
        <f t="shared" si="16"/>
        <v>0.125</v>
      </c>
      <c r="F30" s="168">
        <f t="shared" si="16"/>
        <v>0.125</v>
      </c>
      <c r="G30" s="168">
        <f t="shared" si="16"/>
        <v>0</v>
      </c>
      <c r="H30" s="168">
        <f t="shared" si="16"/>
        <v>0</v>
      </c>
      <c r="I30" s="168">
        <f t="shared" si="16"/>
        <v>0</v>
      </c>
      <c r="J30" s="168">
        <f t="shared" si="16"/>
        <v>0</v>
      </c>
      <c r="K30" s="168">
        <f t="shared" si="16"/>
        <v>0.125</v>
      </c>
      <c r="L30" s="168">
        <f t="shared" si="16"/>
        <v>0</v>
      </c>
      <c r="M30" s="168">
        <f t="shared" si="16"/>
        <v>0.125</v>
      </c>
      <c r="N30" s="168">
        <f t="shared" si="16"/>
        <v>0</v>
      </c>
      <c r="O30" s="168">
        <f t="shared" si="16"/>
        <v>0.125</v>
      </c>
      <c r="P30" s="168">
        <f t="shared" si="16"/>
        <v>0.25</v>
      </c>
      <c r="Q30" s="168">
        <f t="shared" si="16"/>
        <v>0</v>
      </c>
      <c r="R30" s="168">
        <f t="shared" si="16"/>
        <v>0</v>
      </c>
      <c r="S30" s="168">
        <f t="shared" si="16"/>
        <v>0</v>
      </c>
      <c r="T30" s="168">
        <f t="shared" si="16"/>
        <v>0</v>
      </c>
      <c r="U30" s="168">
        <f t="shared" si="16"/>
        <v>0</v>
      </c>
      <c r="V30" s="168">
        <f t="shared" si="16"/>
        <v>0</v>
      </c>
      <c r="W30" s="168">
        <f t="shared" si="16"/>
        <v>0</v>
      </c>
      <c r="X30" s="168">
        <f t="shared" si="16"/>
        <v>0.125</v>
      </c>
      <c r="Y30" s="168">
        <f t="shared" si="16"/>
        <v>0.25</v>
      </c>
      <c r="Z30" s="168">
        <f t="shared" si="16"/>
        <v>0</v>
      </c>
      <c r="AA30" s="168">
        <f t="shared" si="16"/>
        <v>0</v>
      </c>
      <c r="AB30" s="167">
        <f t="shared" si="16"/>
        <v>0</v>
      </c>
    </row>
    <row r="31" spans="1:28" ht="15.6" x14ac:dyDescent="0.3">
      <c r="B31" s="111" t="str">
        <f>'Dashboard-1-AVALIAÇÃO INST.'!$A$32</f>
        <v>NÃO SE APLICA / NÃO SEI</v>
      </c>
      <c r="C31" s="172">
        <f>C25</f>
        <v>0.125</v>
      </c>
      <c r="D31" s="173">
        <f t="shared" ref="D31:AB31" si="17">D25</f>
        <v>0.125</v>
      </c>
      <c r="E31" s="173">
        <f t="shared" si="17"/>
        <v>0.125</v>
      </c>
      <c r="F31" s="173">
        <f t="shared" si="17"/>
        <v>0.125</v>
      </c>
      <c r="G31" s="173">
        <f t="shared" si="17"/>
        <v>0.125</v>
      </c>
      <c r="H31" s="173">
        <f t="shared" si="17"/>
        <v>0</v>
      </c>
      <c r="I31" s="173">
        <f t="shared" si="17"/>
        <v>0.125</v>
      </c>
      <c r="J31" s="173">
        <f t="shared" si="17"/>
        <v>0.125</v>
      </c>
      <c r="K31" s="173">
        <f t="shared" si="17"/>
        <v>0.125</v>
      </c>
      <c r="L31" s="173">
        <f t="shared" si="17"/>
        <v>0.125</v>
      </c>
      <c r="M31" s="173">
        <f t="shared" si="17"/>
        <v>0.125</v>
      </c>
      <c r="N31" s="173">
        <f t="shared" si="17"/>
        <v>0.125</v>
      </c>
      <c r="O31" s="173">
        <f t="shared" si="17"/>
        <v>0.125</v>
      </c>
      <c r="P31" s="173">
        <f t="shared" si="17"/>
        <v>0.125</v>
      </c>
      <c r="Q31" s="173">
        <f t="shared" si="17"/>
        <v>0.125</v>
      </c>
      <c r="R31" s="173">
        <f t="shared" si="17"/>
        <v>0.125</v>
      </c>
      <c r="S31" s="173">
        <f t="shared" si="17"/>
        <v>0.125</v>
      </c>
      <c r="T31" s="173">
        <f t="shared" si="17"/>
        <v>0</v>
      </c>
      <c r="U31" s="173">
        <f t="shared" si="17"/>
        <v>0.25</v>
      </c>
      <c r="V31" s="173">
        <f t="shared" si="17"/>
        <v>0.25</v>
      </c>
      <c r="W31" s="173">
        <f t="shared" si="17"/>
        <v>0.25</v>
      </c>
      <c r="X31" s="173">
        <f t="shared" si="17"/>
        <v>0.25</v>
      </c>
      <c r="Y31" s="173">
        <f t="shared" si="17"/>
        <v>0.25</v>
      </c>
      <c r="Z31" s="173">
        <f t="shared" si="17"/>
        <v>0.25</v>
      </c>
      <c r="AA31" s="173">
        <f t="shared" si="17"/>
        <v>0.625</v>
      </c>
      <c r="AB31" s="174">
        <f t="shared" si="17"/>
        <v>0.375</v>
      </c>
    </row>
    <row r="32" spans="1:28" x14ac:dyDescent="0.25">
      <c r="A32" s="5" t="s">
        <v>211</v>
      </c>
      <c r="B32" s="91"/>
      <c r="C32" s="165">
        <f>SUM(C28:C31)</f>
        <v>1</v>
      </c>
      <c r="D32" s="165">
        <f t="shared" ref="D32" si="18">SUM(D28:D31)</f>
        <v>1</v>
      </c>
      <c r="E32" s="165">
        <f t="shared" ref="E32" si="19">SUM(E28:E31)</f>
        <v>1</v>
      </c>
      <c r="F32" s="165">
        <f t="shared" ref="F32" si="20">SUM(F28:F31)</f>
        <v>1</v>
      </c>
      <c r="G32" s="165">
        <f t="shared" ref="G32" si="21">SUM(G28:G31)</f>
        <v>1</v>
      </c>
      <c r="H32" s="165">
        <f t="shared" ref="H32" si="22">SUM(H28:H31)</f>
        <v>0</v>
      </c>
      <c r="I32" s="165">
        <f t="shared" ref="I32" si="23">SUM(I28:I31)</f>
        <v>1</v>
      </c>
      <c r="J32" s="165">
        <f t="shared" ref="J32" si="24">SUM(J28:J31)</f>
        <v>1</v>
      </c>
      <c r="K32" s="165">
        <f t="shared" ref="K32" si="25">SUM(K28:K31)</f>
        <v>1</v>
      </c>
      <c r="L32" s="165">
        <f t="shared" ref="L32" si="26">SUM(L28:L31)</f>
        <v>1</v>
      </c>
      <c r="M32" s="165">
        <f t="shared" ref="M32" si="27">SUM(M28:M31)</f>
        <v>1</v>
      </c>
      <c r="N32" s="165">
        <f t="shared" ref="N32" si="28">SUM(N28:N31)</f>
        <v>1</v>
      </c>
      <c r="O32" s="165">
        <f t="shared" ref="O32" si="29">SUM(O28:O31)</f>
        <v>1</v>
      </c>
      <c r="P32" s="165">
        <f t="shared" ref="P32" si="30">SUM(P28:P31)</f>
        <v>1</v>
      </c>
      <c r="Q32" s="165">
        <f t="shared" ref="Q32" si="31">SUM(Q28:Q31)</f>
        <v>1</v>
      </c>
      <c r="R32" s="165">
        <f t="shared" ref="R32" si="32">SUM(R28:R31)</f>
        <v>1</v>
      </c>
      <c r="S32" s="165">
        <f t="shared" ref="S32" si="33">SUM(S28:S31)</f>
        <v>1</v>
      </c>
      <c r="T32" s="165">
        <f t="shared" ref="T32" si="34">SUM(T28:T31)</f>
        <v>0</v>
      </c>
      <c r="U32" s="165">
        <f t="shared" ref="U32" si="35">SUM(U28:U31)</f>
        <v>1</v>
      </c>
      <c r="V32" s="165">
        <f t="shared" ref="V32" si="36">SUM(V28:V31)</f>
        <v>1</v>
      </c>
      <c r="W32" s="165">
        <f t="shared" ref="W32" si="37">SUM(W28:W31)</f>
        <v>1</v>
      </c>
      <c r="X32" s="165">
        <f t="shared" ref="X32" si="38">SUM(X28:X31)</f>
        <v>1</v>
      </c>
      <c r="Y32" s="165">
        <f t="shared" ref="Y32" si="39">SUM(Y28:Y31)</f>
        <v>1</v>
      </c>
      <c r="Z32" s="165">
        <f t="shared" ref="Z32" si="40">SUM(Z28:Z31)</f>
        <v>1</v>
      </c>
      <c r="AA32" s="165">
        <f t="shared" ref="AA32" si="41">SUM(AA28:AA31)</f>
        <v>1</v>
      </c>
      <c r="AB32" s="165">
        <f t="shared" ref="AB32" si="42">SUM(AB28:AB31)</f>
        <v>1</v>
      </c>
    </row>
    <row r="33" spans="1:2" x14ac:dyDescent="0.25">
      <c r="A33" s="6">
        <f>COUNT(C2:C17)</f>
        <v>8</v>
      </c>
    </row>
    <row r="35" spans="1:2" x14ac:dyDescent="0.25">
      <c r="A35" s="55" t="s">
        <v>30</v>
      </c>
      <c r="B35" s="55">
        <f>COUNTIF(B$2:B$10,"DISCENTE")</f>
        <v>7</v>
      </c>
    </row>
    <row r="36" spans="1:2" x14ac:dyDescent="0.25">
      <c r="A36" s="55" t="s">
        <v>29</v>
      </c>
      <c r="B36" s="55">
        <f>COUNTIF(B$2:B$10,"DOCENTE")</f>
        <v>1</v>
      </c>
    </row>
    <row r="37" spans="1:2" ht="13.8" x14ac:dyDescent="0.25">
      <c r="B37" s="56" t="str">
        <f>IF(B35+B36=A33,"Verificado","Erro")</f>
        <v>Verificado</v>
      </c>
    </row>
  </sheetData>
  <sheetProtection algorithmName="SHA-512" hashValue="muqHNbf3lUvcfkMHAaPuB0epKTaY7FTN2/5onoXDZqOsp3xYl3DqKzKc9n2SOq+T/RwEh3jAd9/NAeEVxFu6Kw==" saltValue="xG0xORTvVZoglogJH5s8Xg==" spinCount="100000" sheet="1" formatColumns="0" formatRows="0"/>
  <conditionalFormatting sqref="C26:G26">
    <cfRule type="iconSet" priority="11">
      <iconSet iconSet="3Flags">
        <cfvo type="percent" val="0"/>
        <cfvo type="percent" val="33"/>
        <cfvo type="percent" val="67"/>
      </iconSet>
    </cfRule>
    <cfRule type="containsText" dxfId="14" priority="12" operator="containsText" text="Conferido!">
      <formula>NOT(ISERROR(SEARCH("Conferido!",C26)))</formula>
    </cfRule>
  </conditionalFormatting>
  <conditionalFormatting sqref="C20:AB25">
    <cfRule type="colorScale" priority="4">
      <colorScale>
        <cfvo type="min"/>
        <cfvo type="percentile" val="50"/>
        <cfvo type="max"/>
        <color rgb="FF5A8AC6"/>
        <color rgb="FFFCFCFF"/>
        <color rgb="FFF8696B"/>
      </colorScale>
    </cfRule>
  </conditionalFormatting>
  <conditionalFormatting sqref="C20:AB26 H27 T27">
    <cfRule type="colorScale" priority="6">
      <colorScale>
        <cfvo type="min"/>
        <cfvo type="max"/>
        <color rgb="FFFCFCFF"/>
        <color rgb="FF63BE7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9">
      <iconSet iconSet="3Flags">
        <cfvo type="percent" val="0"/>
        <cfvo type="percent" val="33"/>
        <cfvo type="percent" val="67"/>
      </iconSet>
    </cfRule>
    <cfRule type="containsText" dxfId="13" priority="10" operator="containsText" text="Conferido!">
      <formula>NOT(ISERROR(SEARCH("Conferido!",I26)))</formula>
    </cfRule>
  </conditionalFormatting>
  <conditionalFormatting sqref="U26:AB26">
    <cfRule type="iconSet" priority="7">
      <iconSet iconSet="3Flags">
        <cfvo type="percent" val="0"/>
        <cfvo type="percent" val="33"/>
        <cfvo type="percent" val="67"/>
      </iconSet>
    </cfRule>
    <cfRule type="containsText" dxfId="12" priority="8" operator="containsText" text="Conferido!">
      <formula>NOT(ISERROR(SEARCH("Conferido!",U26)))</formula>
    </cfRule>
  </conditionalFormatting>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0B01-78E3-4BA7-9290-AFA69462F918}">
  <sheetPr codeName="Planilha14"/>
  <dimension ref="A1:AC37"/>
  <sheetViews>
    <sheetView zoomScale="60" zoomScaleNormal="60" workbookViewId="0">
      <pane ySplit="1" topLeftCell="A2" activePane="bottomLeft" state="frozen"/>
      <selection activeCell="AN69" sqref="AN69"/>
      <selection pane="bottomLeft" activeCell="K38" sqref="K38"/>
    </sheetView>
  </sheetViews>
  <sheetFormatPr defaultColWidth="8.77734375" defaultRowHeight="13.2" x14ac:dyDescent="0.25"/>
  <cols>
    <col min="1" max="1" width="19" bestFit="1" customWidth="1"/>
    <col min="2" max="2" width="54.21875" bestFit="1" customWidth="1"/>
    <col min="3" max="3" width="9.77734375" customWidth="1"/>
    <col min="8" max="8" width="0" hidden="1"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44274.473471956022</v>
      </c>
      <c r="B2" s="1" t="s">
        <v>30</v>
      </c>
      <c r="C2" s="1">
        <v>5</v>
      </c>
      <c r="D2" s="1">
        <v>5</v>
      </c>
      <c r="E2" s="1">
        <v>5</v>
      </c>
      <c r="F2" s="1">
        <v>5</v>
      </c>
      <c r="G2" s="1">
        <v>5</v>
      </c>
      <c r="I2" s="1">
        <v>5</v>
      </c>
      <c r="J2" s="1">
        <v>5</v>
      </c>
      <c r="K2" s="1">
        <v>5</v>
      </c>
      <c r="L2" s="1">
        <v>5</v>
      </c>
      <c r="M2" s="1">
        <v>5</v>
      </c>
      <c r="N2" s="1">
        <v>5</v>
      </c>
      <c r="O2" s="1">
        <v>5</v>
      </c>
      <c r="P2" s="1">
        <v>5</v>
      </c>
      <c r="Q2" s="1">
        <v>5</v>
      </c>
      <c r="R2" s="1">
        <v>5</v>
      </c>
      <c r="S2" s="1">
        <v>5</v>
      </c>
      <c r="U2" s="1">
        <v>5</v>
      </c>
      <c r="V2" s="1">
        <v>5</v>
      </c>
      <c r="W2" s="1">
        <v>5</v>
      </c>
      <c r="X2" s="1">
        <v>5</v>
      </c>
      <c r="Y2" s="1">
        <v>5</v>
      </c>
      <c r="Z2" s="1">
        <v>5</v>
      </c>
      <c r="AA2" s="1">
        <v>5</v>
      </c>
      <c r="AB2" s="1">
        <v>5</v>
      </c>
    </row>
    <row r="3" spans="1:29" x14ac:dyDescent="0.25">
      <c r="A3" s="2">
        <v>44274.473491446755</v>
      </c>
      <c r="B3" s="1" t="s">
        <v>30</v>
      </c>
      <c r="C3" s="1">
        <v>5</v>
      </c>
      <c r="D3" s="1">
        <v>5</v>
      </c>
      <c r="E3" s="1">
        <v>5</v>
      </c>
      <c r="F3" s="1">
        <v>5</v>
      </c>
      <c r="G3" s="1">
        <v>4</v>
      </c>
      <c r="H3" s="1" t="s">
        <v>46</v>
      </c>
      <c r="I3" s="1">
        <v>5</v>
      </c>
      <c r="J3" s="1">
        <v>5</v>
      </c>
      <c r="K3" s="1">
        <v>5</v>
      </c>
      <c r="L3" s="1">
        <v>5</v>
      </c>
      <c r="M3" s="1">
        <v>5</v>
      </c>
      <c r="N3" s="1">
        <v>5</v>
      </c>
      <c r="O3" s="1">
        <v>5</v>
      </c>
      <c r="P3" s="1">
        <v>5</v>
      </c>
      <c r="Q3" s="1">
        <v>5</v>
      </c>
      <c r="R3" s="1">
        <v>5</v>
      </c>
      <c r="S3" s="1">
        <v>5</v>
      </c>
      <c r="U3" s="1">
        <v>5</v>
      </c>
      <c r="V3" s="1">
        <v>5</v>
      </c>
      <c r="W3" s="1">
        <v>5</v>
      </c>
      <c r="X3" s="1">
        <v>2</v>
      </c>
      <c r="Y3" s="1">
        <v>5</v>
      </c>
      <c r="Z3" s="1">
        <v>5</v>
      </c>
      <c r="AA3" s="1">
        <v>0</v>
      </c>
      <c r="AB3" s="1">
        <v>0</v>
      </c>
    </row>
    <row r="4" spans="1:29" x14ac:dyDescent="0.25">
      <c r="A4" s="2">
        <v>44275.411409340275</v>
      </c>
      <c r="B4" s="1" t="s">
        <v>30</v>
      </c>
      <c r="C4" s="1">
        <v>5</v>
      </c>
      <c r="D4" s="1">
        <v>5</v>
      </c>
      <c r="E4" s="1">
        <v>5</v>
      </c>
      <c r="F4" s="1">
        <v>5</v>
      </c>
      <c r="G4" s="1">
        <v>5</v>
      </c>
      <c r="I4" s="1">
        <v>5</v>
      </c>
      <c r="J4" s="1">
        <v>5</v>
      </c>
      <c r="K4" s="1">
        <v>5</v>
      </c>
      <c r="L4" s="1">
        <v>5</v>
      </c>
      <c r="M4" s="1">
        <v>5</v>
      </c>
      <c r="N4" s="1">
        <v>5</v>
      </c>
      <c r="O4" s="1">
        <v>5</v>
      </c>
      <c r="P4" s="1">
        <v>5</v>
      </c>
      <c r="Q4" s="1">
        <v>5</v>
      </c>
      <c r="R4" s="1">
        <v>5</v>
      </c>
      <c r="S4" s="1">
        <v>5</v>
      </c>
      <c r="T4" s="1" t="s">
        <v>47</v>
      </c>
      <c r="U4" s="1">
        <v>4</v>
      </c>
      <c r="V4" s="1">
        <v>4</v>
      </c>
      <c r="W4" s="1">
        <v>5</v>
      </c>
      <c r="X4" s="1">
        <v>5</v>
      </c>
      <c r="Y4" s="1">
        <v>5</v>
      </c>
      <c r="Z4" s="1">
        <v>4</v>
      </c>
      <c r="AA4" s="1">
        <v>0</v>
      </c>
      <c r="AB4" s="1">
        <v>0</v>
      </c>
    </row>
    <row r="5" spans="1:29" x14ac:dyDescent="0.25">
      <c r="A5" s="2">
        <v>44279.330567662037</v>
      </c>
      <c r="B5" s="1" t="s">
        <v>29</v>
      </c>
      <c r="C5" s="1">
        <v>5</v>
      </c>
      <c r="D5" s="1">
        <v>5</v>
      </c>
      <c r="E5" s="1">
        <v>4</v>
      </c>
      <c r="F5" s="1">
        <v>5</v>
      </c>
      <c r="G5" s="1">
        <v>5</v>
      </c>
      <c r="I5" s="1">
        <v>5</v>
      </c>
      <c r="J5" s="1">
        <v>4</v>
      </c>
      <c r="K5" s="1">
        <v>5</v>
      </c>
      <c r="L5" s="1">
        <v>5</v>
      </c>
      <c r="M5" s="1">
        <v>5</v>
      </c>
      <c r="N5" s="1">
        <v>5</v>
      </c>
      <c r="O5" s="1">
        <v>5</v>
      </c>
      <c r="P5" s="1">
        <v>5</v>
      </c>
      <c r="Q5" s="1">
        <v>5</v>
      </c>
      <c r="R5" s="1">
        <v>5</v>
      </c>
      <c r="S5" s="1">
        <v>5</v>
      </c>
      <c r="U5" s="1">
        <v>0</v>
      </c>
      <c r="V5" s="1">
        <v>0</v>
      </c>
      <c r="W5" s="1">
        <v>0</v>
      </c>
      <c r="X5" s="1">
        <v>0</v>
      </c>
      <c r="Y5" s="1">
        <v>0</v>
      </c>
      <c r="Z5" s="1">
        <v>0</v>
      </c>
      <c r="AA5" s="1">
        <v>0</v>
      </c>
      <c r="AB5" s="1">
        <v>0</v>
      </c>
    </row>
    <row r="6" spans="1:29" x14ac:dyDescent="0.25">
      <c r="A6" s="2">
        <v>44279.408746458328</v>
      </c>
      <c r="B6" s="1" t="s">
        <v>30</v>
      </c>
      <c r="C6" s="1">
        <v>5</v>
      </c>
      <c r="D6" s="1">
        <v>5</v>
      </c>
      <c r="E6" s="1">
        <v>5</v>
      </c>
      <c r="F6" s="1">
        <v>5</v>
      </c>
      <c r="G6" s="1">
        <v>5</v>
      </c>
      <c r="H6" s="1" t="s">
        <v>48</v>
      </c>
      <c r="I6" s="1">
        <v>5</v>
      </c>
      <c r="J6" s="1">
        <v>5</v>
      </c>
      <c r="K6" s="1">
        <v>5</v>
      </c>
      <c r="L6" s="1">
        <v>5</v>
      </c>
      <c r="M6" s="1">
        <v>5</v>
      </c>
      <c r="N6" s="1">
        <v>5</v>
      </c>
      <c r="O6" s="1">
        <v>5</v>
      </c>
      <c r="P6" s="1">
        <v>5</v>
      </c>
      <c r="Q6" s="1">
        <v>5</v>
      </c>
      <c r="R6" s="1">
        <v>5</v>
      </c>
      <c r="S6" s="1">
        <v>5</v>
      </c>
      <c r="U6" s="1">
        <v>5</v>
      </c>
      <c r="V6" s="1">
        <v>5</v>
      </c>
      <c r="W6" s="1">
        <v>5</v>
      </c>
      <c r="X6" s="1">
        <v>3</v>
      </c>
      <c r="Y6" s="1">
        <v>5</v>
      </c>
      <c r="Z6" s="1">
        <v>3</v>
      </c>
      <c r="AA6" s="1">
        <v>5</v>
      </c>
      <c r="AB6" s="1">
        <v>2</v>
      </c>
    </row>
    <row r="7" spans="1:29" x14ac:dyDescent="0.25">
      <c r="A7" s="2">
        <v>44279.430608078706</v>
      </c>
      <c r="B7" s="1" t="s">
        <v>30</v>
      </c>
      <c r="C7" s="1">
        <v>4</v>
      </c>
      <c r="D7" s="1">
        <v>0</v>
      </c>
      <c r="E7" s="1">
        <v>0</v>
      </c>
      <c r="F7" s="1">
        <v>5</v>
      </c>
      <c r="G7" s="1">
        <v>5</v>
      </c>
      <c r="I7" s="1">
        <v>5</v>
      </c>
      <c r="J7" s="1">
        <v>5</v>
      </c>
      <c r="K7" s="1">
        <v>5</v>
      </c>
      <c r="L7" s="1">
        <v>5</v>
      </c>
      <c r="M7" s="1">
        <v>5</v>
      </c>
      <c r="N7" s="1">
        <v>5</v>
      </c>
      <c r="O7" s="1">
        <v>5</v>
      </c>
      <c r="P7" s="1">
        <v>5</v>
      </c>
      <c r="Q7" s="1">
        <v>5</v>
      </c>
      <c r="R7" s="1">
        <v>5</v>
      </c>
      <c r="S7" s="1">
        <v>5</v>
      </c>
      <c r="T7" s="1" t="s">
        <v>49</v>
      </c>
      <c r="U7" s="1">
        <v>4</v>
      </c>
      <c r="V7" s="1">
        <v>4</v>
      </c>
      <c r="W7" s="1">
        <v>4</v>
      </c>
      <c r="X7" s="1">
        <v>4</v>
      </c>
      <c r="Y7" s="1">
        <v>3</v>
      </c>
      <c r="Z7" s="1">
        <v>2</v>
      </c>
      <c r="AA7" s="1">
        <v>0</v>
      </c>
      <c r="AB7" s="1">
        <v>0</v>
      </c>
    </row>
    <row r="8" spans="1:29" ht="15.75" customHeight="1" x14ac:dyDescent="0.25"/>
    <row r="9" spans="1:29" ht="15.75" customHeight="1" x14ac:dyDescent="0.25"/>
    <row r="19" spans="1:28" ht="15.75" customHeight="1"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ht="15.75" customHeight="1" x14ac:dyDescent="0.25">
      <c r="B20" s="10" t="str">
        <f>'Dashboard-1-AVALIAÇÃO INST.'!$A$21</f>
        <v>5-ÓTIMO</v>
      </c>
      <c r="C20" s="7">
        <f>COUNTIFS(C$2:C$18,5)/$A$33</f>
        <v>0.83333333333333337</v>
      </c>
      <c r="D20" s="7">
        <f>COUNTIFS(D$2:D$18,5)/$A$33</f>
        <v>0.83333333333333337</v>
      </c>
      <c r="E20" s="7">
        <f>COUNTIFS(E$2:E$18,5)/$A$33</f>
        <v>0.66666666666666663</v>
      </c>
      <c r="F20" s="7">
        <f>COUNTIFS(F$2:F$18,5)/$A$33</f>
        <v>1</v>
      </c>
      <c r="G20" s="7">
        <f>COUNTIFS(G$2:G$18,5)/$A$33</f>
        <v>0.83333333333333337</v>
      </c>
      <c r="I20" s="7">
        <f t="shared" ref="I20:S20" si="0">COUNTIFS(I$2:I$18,5)/$A$33</f>
        <v>1</v>
      </c>
      <c r="J20" s="7">
        <f t="shared" si="0"/>
        <v>0.83333333333333337</v>
      </c>
      <c r="K20" s="7">
        <f t="shared" si="0"/>
        <v>1</v>
      </c>
      <c r="L20" s="7">
        <f t="shared" si="0"/>
        <v>1</v>
      </c>
      <c r="M20" s="7">
        <f t="shared" si="0"/>
        <v>1</v>
      </c>
      <c r="N20" s="7">
        <f t="shared" si="0"/>
        <v>1</v>
      </c>
      <c r="O20" s="7">
        <f t="shared" si="0"/>
        <v>1</v>
      </c>
      <c r="P20" s="7">
        <f t="shared" si="0"/>
        <v>1</v>
      </c>
      <c r="Q20" s="7">
        <f t="shared" si="0"/>
        <v>1</v>
      </c>
      <c r="R20" s="7">
        <f t="shared" si="0"/>
        <v>1</v>
      </c>
      <c r="S20" s="7">
        <f t="shared" si="0"/>
        <v>1</v>
      </c>
      <c r="U20" s="7">
        <f t="shared" ref="U20:AB20" si="1">COUNTIFS(U$2:U$18,5)/$A$33</f>
        <v>0.5</v>
      </c>
      <c r="V20" s="7">
        <f t="shared" si="1"/>
        <v>0.5</v>
      </c>
      <c r="W20" s="7">
        <f t="shared" si="1"/>
        <v>0.66666666666666663</v>
      </c>
      <c r="X20" s="7">
        <f t="shared" si="1"/>
        <v>0.33333333333333331</v>
      </c>
      <c r="Y20" s="7">
        <f t="shared" si="1"/>
        <v>0.66666666666666663</v>
      </c>
      <c r="Z20" s="7">
        <f t="shared" si="1"/>
        <v>0.33333333333333331</v>
      </c>
      <c r="AA20" s="7">
        <f t="shared" si="1"/>
        <v>0.33333333333333331</v>
      </c>
      <c r="AB20" s="7">
        <f t="shared" si="1"/>
        <v>0.16666666666666666</v>
      </c>
    </row>
    <row r="21" spans="1:28" ht="15.75" customHeight="1" x14ac:dyDescent="0.25">
      <c r="B21" s="10" t="str">
        <f>'Dashboard-1-AVALIAÇÃO INST.'!$A$22</f>
        <v>4-MUITO BOM</v>
      </c>
      <c r="C21" s="7">
        <f>COUNTIFS(C$2:C$18,4)/$A$33</f>
        <v>0.16666666666666666</v>
      </c>
      <c r="D21" s="7">
        <f>COUNTIFS(D$2:D$18,4)/$A$33</f>
        <v>0</v>
      </c>
      <c r="E21" s="7">
        <f>COUNTIFS(E$2:E$18,4)/$A$33</f>
        <v>0.16666666666666666</v>
      </c>
      <c r="F21" s="7">
        <f>COUNTIFS(F$2:F$18,4)/$A$33</f>
        <v>0</v>
      </c>
      <c r="G21" s="7">
        <f>COUNTIFS(G$2:G$18,4)/$A$33</f>
        <v>0.16666666666666666</v>
      </c>
      <c r="I21" s="7">
        <f t="shared" ref="I21:S21" si="2">COUNTIFS(I$2:I$18,4)/$A$33</f>
        <v>0</v>
      </c>
      <c r="J21" s="7">
        <f t="shared" si="2"/>
        <v>0.16666666666666666</v>
      </c>
      <c r="K21" s="7">
        <f t="shared" si="2"/>
        <v>0</v>
      </c>
      <c r="L21" s="7">
        <f t="shared" si="2"/>
        <v>0</v>
      </c>
      <c r="M21" s="7">
        <f t="shared" si="2"/>
        <v>0</v>
      </c>
      <c r="N21" s="7">
        <f t="shared" si="2"/>
        <v>0</v>
      </c>
      <c r="O21" s="7">
        <f t="shared" si="2"/>
        <v>0</v>
      </c>
      <c r="P21" s="7">
        <f t="shared" si="2"/>
        <v>0</v>
      </c>
      <c r="Q21" s="7">
        <f t="shared" si="2"/>
        <v>0</v>
      </c>
      <c r="R21" s="7">
        <f t="shared" si="2"/>
        <v>0</v>
      </c>
      <c r="S21" s="7">
        <f t="shared" si="2"/>
        <v>0</v>
      </c>
      <c r="U21" s="7">
        <f t="shared" ref="U21:AB21" si="3">COUNTIFS(U$2:U$18,4)/$A$33</f>
        <v>0.33333333333333331</v>
      </c>
      <c r="V21" s="7">
        <f t="shared" si="3"/>
        <v>0.33333333333333331</v>
      </c>
      <c r="W21" s="7">
        <f t="shared" si="3"/>
        <v>0.16666666666666666</v>
      </c>
      <c r="X21" s="7">
        <f t="shared" si="3"/>
        <v>0.16666666666666666</v>
      </c>
      <c r="Y21" s="7">
        <f t="shared" si="3"/>
        <v>0</v>
      </c>
      <c r="Z21" s="7">
        <f t="shared" si="3"/>
        <v>0.16666666666666666</v>
      </c>
      <c r="AA21" s="7">
        <f t="shared" si="3"/>
        <v>0</v>
      </c>
      <c r="AB21" s="7">
        <f t="shared" si="3"/>
        <v>0</v>
      </c>
    </row>
    <row r="22" spans="1:28" ht="15.75" customHeight="1" x14ac:dyDescent="0.25">
      <c r="B22" s="10" t="str">
        <f>'Dashboard-1-AVALIAÇÃO INST.'!$A$23</f>
        <v>3-BOM</v>
      </c>
      <c r="C22" s="7">
        <f>COUNTIFS(C$2:C$18,3)/$A$33</f>
        <v>0</v>
      </c>
      <c r="D22" s="7">
        <f>COUNTIFS(D$2:D$18,3)/$A$33</f>
        <v>0</v>
      </c>
      <c r="E22" s="7">
        <f>COUNTIFS(E$2:E$18,3)/$A$33</f>
        <v>0</v>
      </c>
      <c r="F22" s="7">
        <f>COUNTIFS(F$2:F$18,3)/$A$33</f>
        <v>0</v>
      </c>
      <c r="G22" s="7">
        <f>COUNTIFS(G$2:G$18,3)/$A$33</f>
        <v>0</v>
      </c>
      <c r="I22" s="7">
        <f t="shared" ref="I22:S22" si="4">COUNTIFS(I$2:I$18,3)/$A$33</f>
        <v>0</v>
      </c>
      <c r="J22" s="7">
        <f t="shared" si="4"/>
        <v>0</v>
      </c>
      <c r="K22" s="7">
        <f t="shared" si="4"/>
        <v>0</v>
      </c>
      <c r="L22" s="7">
        <f t="shared" si="4"/>
        <v>0</v>
      </c>
      <c r="M22" s="7">
        <f t="shared" si="4"/>
        <v>0</v>
      </c>
      <c r="N22" s="7">
        <f t="shared" si="4"/>
        <v>0</v>
      </c>
      <c r="O22" s="7">
        <f t="shared" si="4"/>
        <v>0</v>
      </c>
      <c r="P22" s="7">
        <f t="shared" si="4"/>
        <v>0</v>
      </c>
      <c r="Q22" s="7">
        <f t="shared" si="4"/>
        <v>0</v>
      </c>
      <c r="R22" s="7">
        <f t="shared" si="4"/>
        <v>0</v>
      </c>
      <c r="S22" s="7">
        <f t="shared" si="4"/>
        <v>0</v>
      </c>
      <c r="U22" s="7">
        <f t="shared" ref="U22:AB22" si="5">COUNTIFS(U$2:U$18,3)/$A$33</f>
        <v>0</v>
      </c>
      <c r="V22" s="7">
        <f t="shared" si="5"/>
        <v>0</v>
      </c>
      <c r="W22" s="7">
        <f t="shared" si="5"/>
        <v>0</v>
      </c>
      <c r="X22" s="7">
        <f t="shared" si="5"/>
        <v>0.16666666666666666</v>
      </c>
      <c r="Y22" s="7">
        <f t="shared" si="5"/>
        <v>0.16666666666666666</v>
      </c>
      <c r="Z22" s="7">
        <f t="shared" si="5"/>
        <v>0.16666666666666666</v>
      </c>
      <c r="AA22" s="7">
        <f t="shared" si="5"/>
        <v>0</v>
      </c>
      <c r="AB22" s="7">
        <f t="shared" si="5"/>
        <v>0</v>
      </c>
    </row>
    <row r="23" spans="1:28" ht="15.75" customHeight="1" x14ac:dyDescent="0.25">
      <c r="B23" s="10" t="str">
        <f>'Dashboard-1-AVALIAÇÃO INST.'!$A$24</f>
        <v>2-REGULAR</v>
      </c>
      <c r="C23" s="7">
        <f>COUNTIFS(C$2:C$18,2)/$A$33</f>
        <v>0</v>
      </c>
      <c r="D23" s="7">
        <f>COUNTIFS(D$2:D$18,2)/$A$33</f>
        <v>0</v>
      </c>
      <c r="E23" s="7">
        <f>COUNTIFS(E$2:E$18,2)/$A$33</f>
        <v>0</v>
      </c>
      <c r="F23" s="7">
        <f>COUNTIFS(F$2:F$18,2)/$A$33</f>
        <v>0</v>
      </c>
      <c r="G23" s="7">
        <f>COUNTIFS(G$2:G$18,2)/$A$33</f>
        <v>0</v>
      </c>
      <c r="I23" s="7">
        <f t="shared" ref="I23:S23" si="6">COUNTIFS(I$2:I$18,2)/$A$33</f>
        <v>0</v>
      </c>
      <c r="J23" s="7">
        <f t="shared" si="6"/>
        <v>0</v>
      </c>
      <c r="K23" s="7">
        <f t="shared" si="6"/>
        <v>0</v>
      </c>
      <c r="L23" s="7">
        <f t="shared" si="6"/>
        <v>0</v>
      </c>
      <c r="M23" s="7">
        <f t="shared" si="6"/>
        <v>0</v>
      </c>
      <c r="N23" s="7">
        <f t="shared" si="6"/>
        <v>0</v>
      </c>
      <c r="O23" s="7">
        <f t="shared" si="6"/>
        <v>0</v>
      </c>
      <c r="P23" s="7">
        <f t="shared" si="6"/>
        <v>0</v>
      </c>
      <c r="Q23" s="7">
        <f t="shared" si="6"/>
        <v>0</v>
      </c>
      <c r="R23" s="7">
        <f t="shared" si="6"/>
        <v>0</v>
      </c>
      <c r="S23" s="7">
        <f t="shared" si="6"/>
        <v>0</v>
      </c>
      <c r="U23" s="7">
        <f t="shared" ref="U23:AB23" si="7">COUNTIFS(U$2:U$18,2)/$A$33</f>
        <v>0</v>
      </c>
      <c r="V23" s="7">
        <f t="shared" si="7"/>
        <v>0</v>
      </c>
      <c r="W23" s="7">
        <f t="shared" si="7"/>
        <v>0</v>
      </c>
      <c r="X23" s="7">
        <f t="shared" si="7"/>
        <v>0.16666666666666666</v>
      </c>
      <c r="Y23" s="7">
        <f t="shared" si="7"/>
        <v>0</v>
      </c>
      <c r="Z23" s="7">
        <f t="shared" si="7"/>
        <v>0.16666666666666666</v>
      </c>
      <c r="AA23" s="7">
        <f t="shared" si="7"/>
        <v>0</v>
      </c>
      <c r="AB23" s="7">
        <f t="shared" si="7"/>
        <v>0.16666666666666666</v>
      </c>
    </row>
    <row r="24" spans="1:28" ht="15.75" customHeight="1" x14ac:dyDescent="0.25">
      <c r="B24" s="10" t="str">
        <f>'Dashboard-1-AVALIAÇÃO INST.'!$A$25</f>
        <v>1-RUIM</v>
      </c>
      <c r="C24" s="7">
        <f>COUNTIFS(C$2:C$18,1)/$A$33</f>
        <v>0</v>
      </c>
      <c r="D24" s="7">
        <f>COUNTIFS(D$2:D$18,1)/$A$33</f>
        <v>0</v>
      </c>
      <c r="E24" s="7">
        <f>COUNTIFS(E$2:E$18,1)/$A$33</f>
        <v>0</v>
      </c>
      <c r="F24" s="7">
        <f>COUNTIFS(F$2:F$18,1)/$A$33</f>
        <v>0</v>
      </c>
      <c r="G24" s="7">
        <f>COUNTIFS(G$2:G$18,1)/$A$33</f>
        <v>0</v>
      </c>
      <c r="I24" s="7">
        <f t="shared" ref="I24:S24" si="8">COUNTIFS(I$2:I$18,1)/$A$33</f>
        <v>0</v>
      </c>
      <c r="J24" s="7">
        <f t="shared" si="8"/>
        <v>0</v>
      </c>
      <c r="K24" s="7">
        <f t="shared" si="8"/>
        <v>0</v>
      </c>
      <c r="L24" s="7">
        <f t="shared" si="8"/>
        <v>0</v>
      </c>
      <c r="M24" s="7">
        <f t="shared" si="8"/>
        <v>0</v>
      </c>
      <c r="N24" s="7">
        <f t="shared" si="8"/>
        <v>0</v>
      </c>
      <c r="O24" s="7">
        <f t="shared" si="8"/>
        <v>0</v>
      </c>
      <c r="P24" s="7">
        <f t="shared" si="8"/>
        <v>0</v>
      </c>
      <c r="Q24" s="7">
        <f t="shared" si="8"/>
        <v>0</v>
      </c>
      <c r="R24" s="7">
        <f t="shared" si="8"/>
        <v>0</v>
      </c>
      <c r="S24" s="7">
        <f t="shared" si="8"/>
        <v>0</v>
      </c>
      <c r="U24" s="7">
        <f t="shared" ref="U24:AB24" si="9">COUNTIFS(U$2:U$18,1)/$A$33</f>
        <v>0</v>
      </c>
      <c r="V24" s="7">
        <f t="shared" si="9"/>
        <v>0</v>
      </c>
      <c r="W24" s="7">
        <f t="shared" si="9"/>
        <v>0</v>
      </c>
      <c r="X24" s="7">
        <f t="shared" si="9"/>
        <v>0</v>
      </c>
      <c r="Y24" s="7">
        <f t="shared" si="9"/>
        <v>0</v>
      </c>
      <c r="Z24" s="7">
        <f t="shared" si="9"/>
        <v>0</v>
      </c>
      <c r="AA24" s="7">
        <f t="shared" si="9"/>
        <v>0</v>
      </c>
      <c r="AB24" s="7">
        <f t="shared" si="9"/>
        <v>0</v>
      </c>
    </row>
    <row r="25" spans="1:28" ht="15.75" customHeight="1" x14ac:dyDescent="0.25">
      <c r="B25" s="10" t="str">
        <f>'Dashboard-1-AVALIAÇÃO INST.'!$A$26</f>
        <v>0-NÃO SE APLICA</v>
      </c>
      <c r="C25" s="7">
        <f>COUNTIFS(C$2:C$18,0)/$A$33</f>
        <v>0</v>
      </c>
      <c r="D25" s="7">
        <f>COUNTIFS(D$2:D$18,0)/$A$33</f>
        <v>0.16666666666666666</v>
      </c>
      <c r="E25" s="7">
        <f>COUNTIFS(E$2:E$18,0)/$A$33</f>
        <v>0.16666666666666666</v>
      </c>
      <c r="F25" s="7">
        <f>COUNTIFS(F$2:F$18,0)/$A$33</f>
        <v>0</v>
      </c>
      <c r="G25" s="7">
        <f>COUNTIFS(G$2:G$18,0)/$A$33</f>
        <v>0</v>
      </c>
      <c r="I25" s="7">
        <f t="shared" ref="I25:S25" si="10">COUNTIFS(I$2:I$18,0)/$A$33</f>
        <v>0</v>
      </c>
      <c r="J25" s="7">
        <f t="shared" si="10"/>
        <v>0</v>
      </c>
      <c r="K25" s="7">
        <f t="shared" si="10"/>
        <v>0</v>
      </c>
      <c r="L25" s="7">
        <f t="shared" si="10"/>
        <v>0</v>
      </c>
      <c r="M25" s="7">
        <f t="shared" si="10"/>
        <v>0</v>
      </c>
      <c r="N25" s="7">
        <f t="shared" si="10"/>
        <v>0</v>
      </c>
      <c r="O25" s="7">
        <f t="shared" si="10"/>
        <v>0</v>
      </c>
      <c r="P25" s="7">
        <f t="shared" si="10"/>
        <v>0</v>
      </c>
      <c r="Q25" s="7">
        <f t="shared" si="10"/>
        <v>0</v>
      </c>
      <c r="R25" s="7">
        <f t="shared" si="10"/>
        <v>0</v>
      </c>
      <c r="S25" s="7">
        <f t="shared" si="10"/>
        <v>0</v>
      </c>
      <c r="U25" s="7">
        <f t="shared" ref="U25:AB25" si="11">COUNTIFS(U$2:U$18,0)/$A$33</f>
        <v>0.16666666666666666</v>
      </c>
      <c r="V25" s="7">
        <f t="shared" si="11"/>
        <v>0.16666666666666666</v>
      </c>
      <c r="W25" s="7">
        <f t="shared" si="11"/>
        <v>0.16666666666666666</v>
      </c>
      <c r="X25" s="7">
        <f t="shared" si="11"/>
        <v>0.16666666666666666</v>
      </c>
      <c r="Y25" s="7">
        <f t="shared" si="11"/>
        <v>0.16666666666666666</v>
      </c>
      <c r="Z25" s="7">
        <f t="shared" si="11"/>
        <v>0.16666666666666666</v>
      </c>
      <c r="AA25" s="7">
        <f t="shared" si="11"/>
        <v>0.66666666666666663</v>
      </c>
      <c r="AB25" s="7">
        <f t="shared" si="11"/>
        <v>0.66666666666666663</v>
      </c>
    </row>
    <row r="26" spans="1:28" ht="15.75" customHeight="1"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1</v>
      </c>
      <c r="D28" s="170">
        <f t="shared" ref="D28:AB28" si="14">D20+D21</f>
        <v>0.83333333333333337</v>
      </c>
      <c r="E28" s="170">
        <f t="shared" si="14"/>
        <v>0.83333333333333326</v>
      </c>
      <c r="F28" s="170">
        <f t="shared" si="14"/>
        <v>1</v>
      </c>
      <c r="G28" s="170">
        <f t="shared" si="14"/>
        <v>1</v>
      </c>
      <c r="H28" s="170">
        <f t="shared" si="14"/>
        <v>0</v>
      </c>
      <c r="I28" s="170">
        <f t="shared" si="14"/>
        <v>1</v>
      </c>
      <c r="J28" s="170">
        <f t="shared" si="14"/>
        <v>1</v>
      </c>
      <c r="K28" s="170">
        <f t="shared" si="14"/>
        <v>1</v>
      </c>
      <c r="L28" s="170">
        <f t="shared" si="14"/>
        <v>1</v>
      </c>
      <c r="M28" s="170">
        <f t="shared" si="14"/>
        <v>1</v>
      </c>
      <c r="N28" s="170">
        <f t="shared" si="14"/>
        <v>1</v>
      </c>
      <c r="O28" s="170">
        <f t="shared" si="14"/>
        <v>1</v>
      </c>
      <c r="P28" s="170">
        <f t="shared" si="14"/>
        <v>1</v>
      </c>
      <c r="Q28" s="170">
        <f t="shared" si="14"/>
        <v>1</v>
      </c>
      <c r="R28" s="170">
        <f t="shared" si="14"/>
        <v>1</v>
      </c>
      <c r="S28" s="170">
        <f t="shared" si="14"/>
        <v>1</v>
      </c>
      <c r="T28" s="170">
        <f t="shared" si="14"/>
        <v>0</v>
      </c>
      <c r="U28" s="170">
        <f t="shared" si="14"/>
        <v>0.83333333333333326</v>
      </c>
      <c r="V28" s="170">
        <f t="shared" si="14"/>
        <v>0.83333333333333326</v>
      </c>
      <c r="W28" s="170">
        <f t="shared" si="14"/>
        <v>0.83333333333333326</v>
      </c>
      <c r="X28" s="170">
        <f t="shared" si="14"/>
        <v>0.5</v>
      </c>
      <c r="Y28" s="170">
        <f t="shared" si="14"/>
        <v>0.66666666666666663</v>
      </c>
      <c r="Z28" s="170">
        <f t="shared" si="14"/>
        <v>0.5</v>
      </c>
      <c r="AA28" s="170">
        <f t="shared" si="14"/>
        <v>0.33333333333333331</v>
      </c>
      <c r="AB28" s="166">
        <f t="shared" si="14"/>
        <v>0.16666666666666666</v>
      </c>
    </row>
    <row r="29" spans="1:28" ht="15.6" x14ac:dyDescent="0.3">
      <c r="B29" s="110" t="str">
        <f>'Dashboard-1-AVALIAÇÃO INST.'!$A$30</f>
        <v>BOM</v>
      </c>
      <c r="C29" s="171">
        <f>C22</f>
        <v>0</v>
      </c>
      <c r="D29" s="168">
        <f t="shared" ref="D29:AB29" si="15">D22</f>
        <v>0</v>
      </c>
      <c r="E29" s="168">
        <f t="shared" si="15"/>
        <v>0</v>
      </c>
      <c r="F29" s="168">
        <f t="shared" si="15"/>
        <v>0</v>
      </c>
      <c r="G29" s="168">
        <f t="shared" si="15"/>
        <v>0</v>
      </c>
      <c r="H29" s="168">
        <f t="shared" si="15"/>
        <v>0</v>
      </c>
      <c r="I29" s="168">
        <f t="shared" si="15"/>
        <v>0</v>
      </c>
      <c r="J29" s="168">
        <f t="shared" si="15"/>
        <v>0</v>
      </c>
      <c r="K29" s="168">
        <f t="shared" si="15"/>
        <v>0</v>
      </c>
      <c r="L29" s="168">
        <f t="shared" si="15"/>
        <v>0</v>
      </c>
      <c r="M29" s="168">
        <f t="shared" si="15"/>
        <v>0</v>
      </c>
      <c r="N29" s="168">
        <f t="shared" si="15"/>
        <v>0</v>
      </c>
      <c r="O29" s="168">
        <f t="shared" si="15"/>
        <v>0</v>
      </c>
      <c r="P29" s="168">
        <f t="shared" si="15"/>
        <v>0</v>
      </c>
      <c r="Q29" s="168">
        <f t="shared" si="15"/>
        <v>0</v>
      </c>
      <c r="R29" s="168">
        <f t="shared" si="15"/>
        <v>0</v>
      </c>
      <c r="S29" s="168">
        <f t="shared" si="15"/>
        <v>0</v>
      </c>
      <c r="T29" s="168">
        <f t="shared" si="15"/>
        <v>0</v>
      </c>
      <c r="U29" s="168">
        <f t="shared" si="15"/>
        <v>0</v>
      </c>
      <c r="V29" s="168">
        <f t="shared" si="15"/>
        <v>0</v>
      </c>
      <c r="W29" s="168">
        <f t="shared" si="15"/>
        <v>0</v>
      </c>
      <c r="X29" s="168">
        <f t="shared" si="15"/>
        <v>0.16666666666666666</v>
      </c>
      <c r="Y29" s="168">
        <f t="shared" si="15"/>
        <v>0.16666666666666666</v>
      </c>
      <c r="Z29" s="168">
        <f t="shared" si="15"/>
        <v>0.16666666666666666</v>
      </c>
      <c r="AA29" s="168">
        <f t="shared" si="15"/>
        <v>0</v>
      </c>
      <c r="AB29" s="167">
        <f t="shared" si="15"/>
        <v>0</v>
      </c>
    </row>
    <row r="30" spans="1:28" ht="15.6" x14ac:dyDescent="0.3">
      <c r="B30" s="110" t="str">
        <f>'Dashboard-1-AVALIAÇÃO INST.'!$A$31</f>
        <v>RUIM / REGULAR</v>
      </c>
      <c r="C30" s="171">
        <f>C23+C24</f>
        <v>0</v>
      </c>
      <c r="D30" s="168">
        <f t="shared" ref="D30:AB30" si="16">D23+D24</f>
        <v>0</v>
      </c>
      <c r="E30" s="168">
        <f t="shared" si="16"/>
        <v>0</v>
      </c>
      <c r="F30" s="168">
        <f t="shared" si="16"/>
        <v>0</v>
      </c>
      <c r="G30" s="168">
        <f t="shared" si="16"/>
        <v>0</v>
      </c>
      <c r="H30" s="168">
        <f t="shared" si="16"/>
        <v>0</v>
      </c>
      <c r="I30" s="168">
        <f t="shared" si="16"/>
        <v>0</v>
      </c>
      <c r="J30" s="168">
        <f t="shared" si="16"/>
        <v>0</v>
      </c>
      <c r="K30" s="168">
        <f t="shared" si="16"/>
        <v>0</v>
      </c>
      <c r="L30" s="168">
        <f t="shared" si="16"/>
        <v>0</v>
      </c>
      <c r="M30" s="168">
        <f t="shared" si="16"/>
        <v>0</v>
      </c>
      <c r="N30" s="168">
        <f t="shared" si="16"/>
        <v>0</v>
      </c>
      <c r="O30" s="168">
        <f t="shared" si="16"/>
        <v>0</v>
      </c>
      <c r="P30" s="168">
        <f t="shared" si="16"/>
        <v>0</v>
      </c>
      <c r="Q30" s="168">
        <f t="shared" si="16"/>
        <v>0</v>
      </c>
      <c r="R30" s="168">
        <f t="shared" si="16"/>
        <v>0</v>
      </c>
      <c r="S30" s="168">
        <f t="shared" si="16"/>
        <v>0</v>
      </c>
      <c r="T30" s="168">
        <f t="shared" si="16"/>
        <v>0</v>
      </c>
      <c r="U30" s="168">
        <f t="shared" si="16"/>
        <v>0</v>
      </c>
      <c r="V30" s="168">
        <f t="shared" si="16"/>
        <v>0</v>
      </c>
      <c r="W30" s="168">
        <f t="shared" si="16"/>
        <v>0</v>
      </c>
      <c r="X30" s="168">
        <f t="shared" si="16"/>
        <v>0.16666666666666666</v>
      </c>
      <c r="Y30" s="168">
        <f t="shared" si="16"/>
        <v>0</v>
      </c>
      <c r="Z30" s="168">
        <f t="shared" si="16"/>
        <v>0.16666666666666666</v>
      </c>
      <c r="AA30" s="168">
        <f t="shared" si="16"/>
        <v>0</v>
      </c>
      <c r="AB30" s="167">
        <f t="shared" si="16"/>
        <v>0.16666666666666666</v>
      </c>
    </row>
    <row r="31" spans="1:28" ht="15.6" x14ac:dyDescent="0.3">
      <c r="B31" s="111" t="str">
        <f>'Dashboard-1-AVALIAÇÃO INST.'!$A$32</f>
        <v>NÃO SE APLICA / NÃO SEI</v>
      </c>
      <c r="C31" s="172">
        <f>C25</f>
        <v>0</v>
      </c>
      <c r="D31" s="173">
        <f t="shared" ref="D31:AB31" si="17">D25</f>
        <v>0.16666666666666666</v>
      </c>
      <c r="E31" s="173">
        <f t="shared" si="17"/>
        <v>0.16666666666666666</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v>
      </c>
      <c r="P31" s="173">
        <f t="shared" si="17"/>
        <v>0</v>
      </c>
      <c r="Q31" s="173">
        <f t="shared" si="17"/>
        <v>0</v>
      </c>
      <c r="R31" s="173">
        <f t="shared" si="17"/>
        <v>0</v>
      </c>
      <c r="S31" s="173">
        <f t="shared" si="17"/>
        <v>0</v>
      </c>
      <c r="T31" s="173">
        <f t="shared" si="17"/>
        <v>0</v>
      </c>
      <c r="U31" s="173">
        <f t="shared" si="17"/>
        <v>0.16666666666666666</v>
      </c>
      <c r="V31" s="173">
        <f t="shared" si="17"/>
        <v>0.16666666666666666</v>
      </c>
      <c r="W31" s="173">
        <f t="shared" si="17"/>
        <v>0.16666666666666666</v>
      </c>
      <c r="X31" s="173">
        <f t="shared" si="17"/>
        <v>0.16666666666666666</v>
      </c>
      <c r="Y31" s="173">
        <f t="shared" si="17"/>
        <v>0.16666666666666666</v>
      </c>
      <c r="Z31" s="173">
        <f t="shared" si="17"/>
        <v>0.16666666666666666</v>
      </c>
      <c r="AA31" s="173">
        <f t="shared" si="17"/>
        <v>0.66666666666666663</v>
      </c>
      <c r="AB31" s="174">
        <f t="shared" si="17"/>
        <v>0.66666666666666663</v>
      </c>
    </row>
    <row r="32" spans="1:28" x14ac:dyDescent="0.25">
      <c r="A32" s="5" t="s">
        <v>211</v>
      </c>
      <c r="B32" s="91"/>
      <c r="C32" s="165">
        <f>SUM(C28:C31)</f>
        <v>1</v>
      </c>
      <c r="D32" s="165">
        <f t="shared" ref="D32" si="18">SUM(D28:D31)</f>
        <v>1</v>
      </c>
      <c r="E32" s="165">
        <f t="shared" ref="E32" si="19">SUM(E28:E31)</f>
        <v>0.99999999999999989</v>
      </c>
      <c r="F32" s="165">
        <f t="shared" ref="F32" si="20">SUM(F28:F31)</f>
        <v>1</v>
      </c>
      <c r="G32" s="165">
        <f t="shared" ref="G32" si="21">SUM(G28:G31)</f>
        <v>1</v>
      </c>
      <c r="H32" s="165">
        <f t="shared" ref="H32" si="22">SUM(H28:H31)</f>
        <v>0</v>
      </c>
      <c r="I32" s="165">
        <f t="shared" ref="I32" si="23">SUM(I28:I31)</f>
        <v>1</v>
      </c>
      <c r="J32" s="165">
        <f t="shared" ref="J32" si="24">SUM(J28:J31)</f>
        <v>1</v>
      </c>
      <c r="K32" s="165">
        <f t="shared" ref="K32" si="25">SUM(K28:K31)</f>
        <v>1</v>
      </c>
      <c r="L32" s="165">
        <f t="shared" ref="L32" si="26">SUM(L28:L31)</f>
        <v>1</v>
      </c>
      <c r="M32" s="165">
        <f t="shared" ref="M32" si="27">SUM(M28:M31)</f>
        <v>1</v>
      </c>
      <c r="N32" s="165">
        <f t="shared" ref="N32" si="28">SUM(N28:N31)</f>
        <v>1</v>
      </c>
      <c r="O32" s="165">
        <f t="shared" ref="O32" si="29">SUM(O28:O31)</f>
        <v>1</v>
      </c>
      <c r="P32" s="165">
        <f t="shared" ref="P32" si="30">SUM(P28:P31)</f>
        <v>1</v>
      </c>
      <c r="Q32" s="165">
        <f t="shared" ref="Q32" si="31">SUM(Q28:Q31)</f>
        <v>1</v>
      </c>
      <c r="R32" s="165">
        <f t="shared" ref="R32" si="32">SUM(R28:R31)</f>
        <v>1</v>
      </c>
      <c r="S32" s="165">
        <f t="shared" ref="S32" si="33">SUM(S28:S31)</f>
        <v>1</v>
      </c>
      <c r="T32" s="165">
        <f t="shared" ref="T32" si="34">SUM(T28:T31)</f>
        <v>0</v>
      </c>
      <c r="U32" s="165">
        <f t="shared" ref="U32" si="35">SUM(U28:U31)</f>
        <v>0.99999999999999989</v>
      </c>
      <c r="V32" s="165">
        <f t="shared" ref="V32" si="36">SUM(V28:V31)</f>
        <v>0.99999999999999989</v>
      </c>
      <c r="W32" s="165">
        <f t="shared" ref="W32" si="37">SUM(W28:W31)</f>
        <v>0.99999999999999989</v>
      </c>
      <c r="X32" s="165">
        <f t="shared" ref="X32" si="38">SUM(X28:X31)</f>
        <v>0.99999999999999989</v>
      </c>
      <c r="Y32" s="165">
        <f t="shared" ref="Y32" si="39">SUM(Y28:Y31)</f>
        <v>0.99999999999999989</v>
      </c>
      <c r="Z32" s="165">
        <f t="shared" ref="Z32" si="40">SUM(Z28:Z31)</f>
        <v>0.99999999999999989</v>
      </c>
      <c r="AA32" s="165">
        <f t="shared" ref="AA32" si="41">SUM(AA28:AA31)</f>
        <v>1</v>
      </c>
      <c r="AB32" s="165">
        <f t="shared" ref="AB32" si="42">SUM(AB28:AB31)</f>
        <v>1</v>
      </c>
    </row>
    <row r="33" spans="1:2" x14ac:dyDescent="0.25">
      <c r="A33" s="6">
        <f>COUNT(C2:C18)</f>
        <v>6</v>
      </c>
    </row>
    <row r="35" spans="1:2" x14ac:dyDescent="0.25">
      <c r="A35" s="55" t="s">
        <v>30</v>
      </c>
      <c r="B35" s="55">
        <f>COUNTIF(B$2:B$10,"DISCENTE")</f>
        <v>5</v>
      </c>
    </row>
    <row r="36" spans="1:2" x14ac:dyDescent="0.25">
      <c r="A36" s="55" t="s">
        <v>29</v>
      </c>
      <c r="B36" s="55">
        <f>COUNTIF(B$2:B$10,"DOCENTE")</f>
        <v>1</v>
      </c>
    </row>
    <row r="37" spans="1:2" ht="13.8" x14ac:dyDescent="0.25">
      <c r="B37" s="56" t="str">
        <f>IF(B35+B36=A33,"Verificado","Erro")</f>
        <v>Verificado</v>
      </c>
    </row>
  </sheetData>
  <sheetProtection algorithmName="SHA-512" hashValue="016pi6QZlN2Acnhh1/Dh4GKGEvR9pQmdndvaYrhITEKuRk2ENT10k/XqsL54q1n/kUVs8sHLBuwIZ/wLYFBNzA==" saltValue="AeDqZZDrOJr/LNiA5Hx1jg==" spinCount="100000" sheet="1" formatColumns="0" deleteColumns="0"/>
  <conditionalFormatting sqref="C26:G26">
    <cfRule type="iconSet" priority="10">
      <iconSet iconSet="3Flags">
        <cfvo type="percent" val="0"/>
        <cfvo type="percent" val="33"/>
        <cfvo type="percent" val="67"/>
      </iconSet>
    </cfRule>
    <cfRule type="containsText" dxfId="11" priority="11" operator="containsText" text="Conferido!">
      <formula>NOT(ISERROR(SEARCH("Conferido!",C26)))</formula>
    </cfRule>
  </conditionalFormatting>
  <conditionalFormatting sqref="C20:AB24 H26:H27 C25:S25 U25:AB25 T25:T27 T33">
    <cfRule type="colorScale" priority="4">
      <colorScale>
        <cfvo type="min"/>
        <cfvo type="percentile" val="50"/>
        <cfvo type="max"/>
        <color rgb="FF5A8AC6"/>
        <color rgb="FFFCFCFF"/>
        <color rgb="FFF8696B"/>
      </colorScale>
    </cfRule>
    <cfRule type="colorScale" priority="5">
      <colorScale>
        <cfvo type="min"/>
        <cfvo type="max"/>
        <color rgb="FFFCFCFF"/>
        <color rgb="FF63BE7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10"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9" priority="7" operator="containsText" text="Conferido!">
      <formula>NOT(ISERROR(SEARCH("Conferido!",U26)))</formula>
    </cfRule>
  </conditionalFormatting>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F1DC7-500F-4FEC-9A6B-F595CDA9BB04}">
  <sheetPr codeName="Planilha15"/>
  <dimension ref="A1:AC37"/>
  <sheetViews>
    <sheetView zoomScale="60" zoomScaleNormal="60" workbookViewId="0">
      <pane ySplit="1" topLeftCell="A2" activePane="bottomLeft" state="frozen"/>
      <selection activeCell="AN69" sqref="AN69"/>
      <selection pane="bottomLeft" activeCell="E37" sqref="E37"/>
    </sheetView>
  </sheetViews>
  <sheetFormatPr defaultColWidth="8.77734375" defaultRowHeight="13.2" x14ac:dyDescent="0.25"/>
  <cols>
    <col min="1" max="1" width="19" bestFit="1" customWidth="1"/>
    <col min="2" max="2" width="54.21875" bestFit="1" customWidth="1"/>
    <col min="8" max="8" width="0" hidden="1"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44274.463237708333</v>
      </c>
      <c r="B2" s="1" t="s">
        <v>29</v>
      </c>
      <c r="C2" s="1">
        <v>4</v>
      </c>
      <c r="D2" s="1">
        <v>4</v>
      </c>
      <c r="E2" s="1">
        <v>4</v>
      </c>
      <c r="F2" s="1">
        <v>5</v>
      </c>
      <c r="G2" s="1">
        <v>5</v>
      </c>
      <c r="I2" s="1">
        <v>5</v>
      </c>
      <c r="J2" s="1">
        <v>5</v>
      </c>
      <c r="K2" s="1">
        <v>5</v>
      </c>
      <c r="L2" s="1">
        <v>5</v>
      </c>
      <c r="M2" s="1">
        <v>4</v>
      </c>
      <c r="N2" s="1">
        <v>5</v>
      </c>
      <c r="O2" s="1">
        <v>5</v>
      </c>
      <c r="P2" s="1">
        <v>5</v>
      </c>
      <c r="Q2" s="1">
        <v>5</v>
      </c>
      <c r="R2" s="1">
        <v>5</v>
      </c>
      <c r="S2" s="1">
        <v>5</v>
      </c>
      <c r="U2" s="1">
        <v>0</v>
      </c>
      <c r="V2" s="1">
        <v>0</v>
      </c>
      <c r="W2" s="1">
        <v>0</v>
      </c>
      <c r="X2" s="1">
        <v>0</v>
      </c>
      <c r="Y2" s="1">
        <v>0</v>
      </c>
      <c r="Z2" s="1">
        <v>0</v>
      </c>
      <c r="AA2" s="1">
        <v>0</v>
      </c>
      <c r="AB2" s="1">
        <v>0</v>
      </c>
    </row>
    <row r="3" spans="1:29" x14ac:dyDescent="0.25">
      <c r="A3" s="2">
        <v>44274.476469618057</v>
      </c>
      <c r="B3" s="1" t="s">
        <v>30</v>
      </c>
      <c r="C3" s="1">
        <v>5</v>
      </c>
      <c r="D3" s="1">
        <v>5</v>
      </c>
      <c r="E3" s="1">
        <v>5</v>
      </c>
      <c r="F3" s="1">
        <v>5</v>
      </c>
      <c r="G3" s="1">
        <v>4</v>
      </c>
      <c r="I3" s="1">
        <v>5</v>
      </c>
      <c r="J3" s="1">
        <v>5</v>
      </c>
      <c r="K3" s="1">
        <v>5</v>
      </c>
      <c r="L3" s="1">
        <v>5</v>
      </c>
      <c r="M3" s="1">
        <v>5</v>
      </c>
      <c r="N3" s="1">
        <v>5</v>
      </c>
      <c r="O3" s="1">
        <v>5</v>
      </c>
      <c r="P3" s="1">
        <v>5</v>
      </c>
      <c r="Q3" s="1">
        <v>5</v>
      </c>
      <c r="R3" s="1">
        <v>5</v>
      </c>
      <c r="S3" s="1">
        <v>5</v>
      </c>
      <c r="U3" s="1">
        <v>5</v>
      </c>
      <c r="V3" s="1">
        <v>4</v>
      </c>
      <c r="W3" s="1">
        <v>5</v>
      </c>
      <c r="X3" s="1">
        <v>3</v>
      </c>
      <c r="Y3" s="1">
        <v>4</v>
      </c>
      <c r="Z3" s="1">
        <v>4</v>
      </c>
      <c r="AA3" s="1">
        <v>5</v>
      </c>
      <c r="AB3" s="1">
        <v>4</v>
      </c>
    </row>
    <row r="4" spans="1:29" ht="15.75" customHeight="1" x14ac:dyDescent="0.25"/>
    <row r="10" spans="1:29" ht="15.75" customHeight="1" x14ac:dyDescent="0.25"/>
    <row r="11" spans="1:29" ht="15.75" customHeight="1" x14ac:dyDescent="0.25"/>
    <row r="12" spans="1:29" ht="15.75" customHeight="1" x14ac:dyDescent="0.25"/>
    <row r="13" spans="1:29" ht="15.75" customHeight="1" x14ac:dyDescent="0.25"/>
    <row r="14" spans="1:29" ht="15.75" customHeight="1" x14ac:dyDescent="0.25"/>
    <row r="15" spans="1:29" ht="15.75" customHeight="1" x14ac:dyDescent="0.25"/>
    <row r="16" spans="1:29" ht="15.75" customHeight="1" x14ac:dyDescent="0.25"/>
    <row r="17" spans="1:28" ht="15.75" customHeight="1" x14ac:dyDescent="0.25"/>
    <row r="19" spans="1:28"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x14ac:dyDescent="0.25">
      <c r="B20" s="10" t="str">
        <f>'Dashboard-1-AVALIAÇÃO INST.'!$A$21</f>
        <v>5-ÓTIMO</v>
      </c>
      <c r="C20" s="7">
        <f>COUNTIFS(C$2:C$17,5)/$A$33</f>
        <v>0.5</v>
      </c>
      <c r="D20" s="7">
        <f>COUNTIFS(D$2:D$17,5)/$A$33</f>
        <v>0.5</v>
      </c>
      <c r="E20" s="7">
        <f>COUNTIFS(E$2:E$17,5)/$A$33</f>
        <v>0.5</v>
      </c>
      <c r="F20" s="7">
        <f>COUNTIFS(F$2:F$17,5)/$A$33</f>
        <v>1</v>
      </c>
      <c r="G20" s="7">
        <f>COUNTIFS(G$2:G$17,5)/$A$33</f>
        <v>0.5</v>
      </c>
      <c r="I20" s="7">
        <f t="shared" ref="I20:S20" si="0">COUNTIFS(I$2:I$17,5)/$A$33</f>
        <v>1</v>
      </c>
      <c r="J20" s="7">
        <f t="shared" si="0"/>
        <v>1</v>
      </c>
      <c r="K20" s="7">
        <f t="shared" si="0"/>
        <v>1</v>
      </c>
      <c r="L20" s="7">
        <f t="shared" si="0"/>
        <v>1</v>
      </c>
      <c r="M20" s="7">
        <f t="shared" si="0"/>
        <v>0.5</v>
      </c>
      <c r="N20" s="7">
        <f t="shared" si="0"/>
        <v>1</v>
      </c>
      <c r="O20" s="7">
        <f t="shared" si="0"/>
        <v>1</v>
      </c>
      <c r="P20" s="7">
        <f t="shared" si="0"/>
        <v>1</v>
      </c>
      <c r="Q20" s="7">
        <f t="shared" si="0"/>
        <v>1</v>
      </c>
      <c r="R20" s="7">
        <f t="shared" si="0"/>
        <v>1</v>
      </c>
      <c r="S20" s="7">
        <f t="shared" si="0"/>
        <v>1</v>
      </c>
      <c r="U20" s="7">
        <f t="shared" ref="U20:AB20" si="1">COUNTIFS(U$2:U$17,5)/$A$33</f>
        <v>0.5</v>
      </c>
      <c r="V20" s="7">
        <f t="shared" si="1"/>
        <v>0</v>
      </c>
      <c r="W20" s="7">
        <f t="shared" si="1"/>
        <v>0.5</v>
      </c>
      <c r="X20" s="7">
        <f t="shared" si="1"/>
        <v>0</v>
      </c>
      <c r="Y20" s="7">
        <f t="shared" si="1"/>
        <v>0</v>
      </c>
      <c r="Z20" s="7">
        <f t="shared" si="1"/>
        <v>0</v>
      </c>
      <c r="AA20" s="7">
        <f t="shared" si="1"/>
        <v>0.5</v>
      </c>
      <c r="AB20" s="7">
        <f t="shared" si="1"/>
        <v>0</v>
      </c>
    </row>
    <row r="21" spans="1:28" x14ac:dyDescent="0.25">
      <c r="B21" s="10" t="str">
        <f>'Dashboard-1-AVALIAÇÃO INST.'!$A$22</f>
        <v>4-MUITO BOM</v>
      </c>
      <c r="C21" s="7">
        <f>COUNTIFS(C$2:C$17,4)/$A$33</f>
        <v>0.5</v>
      </c>
      <c r="D21" s="7">
        <f>COUNTIFS(D$2:D$17,4)/$A$33</f>
        <v>0.5</v>
      </c>
      <c r="E21" s="7">
        <f>COUNTIFS(E$2:E$17,4)/$A$33</f>
        <v>0.5</v>
      </c>
      <c r="F21" s="7">
        <f>COUNTIFS(F$2:F$17,4)/$A$33</f>
        <v>0</v>
      </c>
      <c r="G21" s="7">
        <f>COUNTIFS(G$2:G$17,4)/$A$33</f>
        <v>0.5</v>
      </c>
      <c r="I21" s="7">
        <f t="shared" ref="I21:S21" si="2">COUNTIFS(I$2:I$17,4)/$A$33</f>
        <v>0</v>
      </c>
      <c r="J21" s="7">
        <f t="shared" si="2"/>
        <v>0</v>
      </c>
      <c r="K21" s="7">
        <f t="shared" si="2"/>
        <v>0</v>
      </c>
      <c r="L21" s="7">
        <f t="shared" si="2"/>
        <v>0</v>
      </c>
      <c r="M21" s="7">
        <f t="shared" si="2"/>
        <v>0.5</v>
      </c>
      <c r="N21" s="7">
        <f t="shared" si="2"/>
        <v>0</v>
      </c>
      <c r="O21" s="7">
        <f t="shared" si="2"/>
        <v>0</v>
      </c>
      <c r="P21" s="7">
        <f t="shared" si="2"/>
        <v>0</v>
      </c>
      <c r="Q21" s="7">
        <f t="shared" si="2"/>
        <v>0</v>
      </c>
      <c r="R21" s="7">
        <f t="shared" si="2"/>
        <v>0</v>
      </c>
      <c r="S21" s="7">
        <f t="shared" si="2"/>
        <v>0</v>
      </c>
      <c r="U21" s="7">
        <f t="shared" ref="U21:AB21" si="3">COUNTIFS(U$2:U$17,4)/$A$33</f>
        <v>0</v>
      </c>
      <c r="V21" s="7">
        <f t="shared" si="3"/>
        <v>0.5</v>
      </c>
      <c r="W21" s="7">
        <f t="shared" si="3"/>
        <v>0</v>
      </c>
      <c r="X21" s="7">
        <f t="shared" si="3"/>
        <v>0</v>
      </c>
      <c r="Y21" s="7">
        <f t="shared" si="3"/>
        <v>0.5</v>
      </c>
      <c r="Z21" s="7">
        <f t="shared" si="3"/>
        <v>0.5</v>
      </c>
      <c r="AA21" s="7">
        <f t="shared" si="3"/>
        <v>0</v>
      </c>
      <c r="AB21" s="7">
        <f t="shared" si="3"/>
        <v>0.5</v>
      </c>
    </row>
    <row r="22" spans="1:28" x14ac:dyDescent="0.25">
      <c r="B22" s="10" t="str">
        <f>'Dashboard-1-AVALIAÇÃO INST.'!$A$23</f>
        <v>3-BOM</v>
      </c>
      <c r="C22" s="7">
        <f>COUNTIFS(C$2:C$17,3)/$A$33</f>
        <v>0</v>
      </c>
      <c r="D22" s="7">
        <f>COUNTIFS(D$2:D$17,3)/$A$33</f>
        <v>0</v>
      </c>
      <c r="E22" s="7">
        <f>COUNTIFS(E$2:E$17,3)/$A$33</f>
        <v>0</v>
      </c>
      <c r="F22" s="7">
        <f>COUNTIFS(F$2:F$17,3)/$A$33</f>
        <v>0</v>
      </c>
      <c r="G22" s="7">
        <f>COUNTIFS(G$2:G$17,3)/$A$33</f>
        <v>0</v>
      </c>
      <c r="I22" s="7">
        <f t="shared" ref="I22:S22" si="4">COUNTIFS(I$2:I$17,3)/$A$33</f>
        <v>0</v>
      </c>
      <c r="J22" s="7">
        <f t="shared" si="4"/>
        <v>0</v>
      </c>
      <c r="K22" s="7">
        <f t="shared" si="4"/>
        <v>0</v>
      </c>
      <c r="L22" s="7">
        <f t="shared" si="4"/>
        <v>0</v>
      </c>
      <c r="M22" s="7">
        <f t="shared" si="4"/>
        <v>0</v>
      </c>
      <c r="N22" s="7">
        <f t="shared" si="4"/>
        <v>0</v>
      </c>
      <c r="O22" s="7">
        <f t="shared" si="4"/>
        <v>0</v>
      </c>
      <c r="P22" s="7">
        <f t="shared" si="4"/>
        <v>0</v>
      </c>
      <c r="Q22" s="7">
        <f t="shared" si="4"/>
        <v>0</v>
      </c>
      <c r="R22" s="7">
        <f t="shared" si="4"/>
        <v>0</v>
      </c>
      <c r="S22" s="7">
        <f t="shared" si="4"/>
        <v>0</v>
      </c>
      <c r="U22" s="7">
        <f t="shared" ref="U22:AB22" si="5">COUNTIFS(U$2:U$17,3)/$A$33</f>
        <v>0</v>
      </c>
      <c r="V22" s="7">
        <f t="shared" si="5"/>
        <v>0</v>
      </c>
      <c r="W22" s="7">
        <f t="shared" si="5"/>
        <v>0</v>
      </c>
      <c r="X22" s="7">
        <f t="shared" si="5"/>
        <v>0.5</v>
      </c>
      <c r="Y22" s="7">
        <f t="shared" si="5"/>
        <v>0</v>
      </c>
      <c r="Z22" s="7">
        <f t="shared" si="5"/>
        <v>0</v>
      </c>
      <c r="AA22" s="7">
        <f t="shared" si="5"/>
        <v>0</v>
      </c>
      <c r="AB22" s="7">
        <f t="shared" si="5"/>
        <v>0</v>
      </c>
    </row>
    <row r="23" spans="1:28" x14ac:dyDescent="0.25">
      <c r="B23" s="10" t="str">
        <f>'Dashboard-1-AVALIAÇÃO INST.'!$A$24</f>
        <v>2-REGULAR</v>
      </c>
      <c r="C23" s="7">
        <f>COUNTIFS(C$2:C$17,2)/$A$33</f>
        <v>0</v>
      </c>
      <c r="D23" s="7">
        <f>COUNTIFS(D$2:D$17,2)/$A$33</f>
        <v>0</v>
      </c>
      <c r="E23" s="7">
        <f>COUNTIFS(E$2:E$17,2)/$A$33</f>
        <v>0</v>
      </c>
      <c r="F23" s="7">
        <f>COUNTIFS(F$2:F$17,2)/$A$33</f>
        <v>0</v>
      </c>
      <c r="G23" s="7">
        <f>COUNTIFS(G$2:G$17,2)/$A$33</f>
        <v>0</v>
      </c>
      <c r="I23" s="7">
        <f t="shared" ref="I23:S23" si="6">COUNTIFS(I$2:I$17,2)/$A$33</f>
        <v>0</v>
      </c>
      <c r="J23" s="7">
        <f t="shared" si="6"/>
        <v>0</v>
      </c>
      <c r="K23" s="7">
        <f t="shared" si="6"/>
        <v>0</v>
      </c>
      <c r="L23" s="7">
        <f t="shared" si="6"/>
        <v>0</v>
      </c>
      <c r="M23" s="7">
        <f t="shared" si="6"/>
        <v>0</v>
      </c>
      <c r="N23" s="7">
        <f t="shared" si="6"/>
        <v>0</v>
      </c>
      <c r="O23" s="7">
        <f t="shared" si="6"/>
        <v>0</v>
      </c>
      <c r="P23" s="7">
        <f t="shared" si="6"/>
        <v>0</v>
      </c>
      <c r="Q23" s="7">
        <f t="shared" si="6"/>
        <v>0</v>
      </c>
      <c r="R23" s="7">
        <f t="shared" si="6"/>
        <v>0</v>
      </c>
      <c r="S23" s="7">
        <f t="shared" si="6"/>
        <v>0</v>
      </c>
      <c r="U23" s="7">
        <f t="shared" ref="U23:AB23" si="7">COUNTIFS(U$2:U$17,2)/$A$33</f>
        <v>0</v>
      </c>
      <c r="V23" s="7">
        <f t="shared" si="7"/>
        <v>0</v>
      </c>
      <c r="W23" s="7">
        <f t="shared" si="7"/>
        <v>0</v>
      </c>
      <c r="X23" s="7">
        <f t="shared" si="7"/>
        <v>0</v>
      </c>
      <c r="Y23" s="7">
        <f t="shared" si="7"/>
        <v>0</v>
      </c>
      <c r="Z23" s="7">
        <f t="shared" si="7"/>
        <v>0</v>
      </c>
      <c r="AA23" s="7">
        <f t="shared" si="7"/>
        <v>0</v>
      </c>
      <c r="AB23" s="7">
        <f t="shared" si="7"/>
        <v>0</v>
      </c>
    </row>
    <row r="24" spans="1:28" x14ac:dyDescent="0.25">
      <c r="B24" s="10" t="str">
        <f>'Dashboard-1-AVALIAÇÃO INST.'!$A$25</f>
        <v>1-RUIM</v>
      </c>
      <c r="C24" s="7">
        <f>COUNTIFS(C$2:C$17,1)/$A$33</f>
        <v>0</v>
      </c>
      <c r="D24" s="7">
        <f>COUNTIFS(D$2:D$17,1)/$A$33</f>
        <v>0</v>
      </c>
      <c r="E24" s="7">
        <f>COUNTIFS(E$2:E$17,1)/$A$33</f>
        <v>0</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0</v>
      </c>
      <c r="Q24" s="7">
        <f t="shared" si="8"/>
        <v>0</v>
      </c>
      <c r="R24" s="7">
        <f t="shared" si="8"/>
        <v>0</v>
      </c>
      <c r="S24" s="7">
        <f t="shared" si="8"/>
        <v>0</v>
      </c>
      <c r="U24" s="7">
        <f t="shared" ref="U24:AB24" si="9">COUNTIFS(U$2:U$17,1)/$A$33</f>
        <v>0</v>
      </c>
      <c r="V24" s="7">
        <f t="shared" si="9"/>
        <v>0</v>
      </c>
      <c r="W24" s="7">
        <f t="shared" si="9"/>
        <v>0</v>
      </c>
      <c r="X24" s="7">
        <f t="shared" si="9"/>
        <v>0</v>
      </c>
      <c r="Y24" s="7">
        <f t="shared" si="9"/>
        <v>0</v>
      </c>
      <c r="Z24" s="7">
        <f t="shared" si="9"/>
        <v>0</v>
      </c>
      <c r="AA24" s="7">
        <f t="shared" si="9"/>
        <v>0</v>
      </c>
      <c r="AB24" s="7">
        <f t="shared" si="9"/>
        <v>0</v>
      </c>
    </row>
    <row r="25" spans="1:28" x14ac:dyDescent="0.25">
      <c r="B25" s="10" t="str">
        <f>'Dashboard-1-AVALIAÇÃO INST.'!$A$26</f>
        <v>0-NÃO SE APLICA</v>
      </c>
      <c r="C25" s="7">
        <f>COUNTIFS(C$2:C$17,0)/$A$33</f>
        <v>0</v>
      </c>
      <c r="D25" s="7">
        <f>COUNTIFS(D$2:D$17,0)/$A$33</f>
        <v>0</v>
      </c>
      <c r="E25" s="7">
        <f>COUNTIFS(E$2:E$17,0)/$A$33</f>
        <v>0</v>
      </c>
      <c r="F25" s="7">
        <f>COUNTIFS(F$2:F$17,0)/$A$33</f>
        <v>0</v>
      </c>
      <c r="G25" s="7">
        <f>COUNTIFS(G$2:G$17,0)/$A$33</f>
        <v>0</v>
      </c>
      <c r="I25" s="7">
        <f t="shared" ref="I25:S25" si="10">COUNTIFS(I$2:I$17,0)/$A$33</f>
        <v>0</v>
      </c>
      <c r="J25" s="7">
        <f t="shared" si="10"/>
        <v>0</v>
      </c>
      <c r="K25" s="7">
        <f t="shared" si="10"/>
        <v>0</v>
      </c>
      <c r="L25" s="7">
        <f t="shared" si="10"/>
        <v>0</v>
      </c>
      <c r="M25" s="7">
        <f t="shared" si="10"/>
        <v>0</v>
      </c>
      <c r="N25" s="7">
        <f t="shared" si="10"/>
        <v>0</v>
      </c>
      <c r="O25" s="7">
        <f t="shared" si="10"/>
        <v>0</v>
      </c>
      <c r="P25" s="7">
        <f t="shared" si="10"/>
        <v>0</v>
      </c>
      <c r="Q25" s="7">
        <f t="shared" si="10"/>
        <v>0</v>
      </c>
      <c r="R25" s="7">
        <f t="shared" si="10"/>
        <v>0</v>
      </c>
      <c r="S25" s="7">
        <f t="shared" si="10"/>
        <v>0</v>
      </c>
      <c r="U25" s="7">
        <f t="shared" ref="U25:AB25" si="11">COUNTIFS(U$2:U$17,0)/$A$33</f>
        <v>0.5</v>
      </c>
      <c r="V25" s="7">
        <f t="shared" si="11"/>
        <v>0.5</v>
      </c>
      <c r="W25" s="7">
        <f t="shared" si="11"/>
        <v>0.5</v>
      </c>
      <c r="X25" s="7">
        <f t="shared" si="11"/>
        <v>0.5</v>
      </c>
      <c r="Y25" s="7">
        <f t="shared" si="11"/>
        <v>0.5</v>
      </c>
      <c r="Z25" s="7">
        <f t="shared" si="11"/>
        <v>0.5</v>
      </c>
      <c r="AA25" s="7">
        <f t="shared" si="11"/>
        <v>0.5</v>
      </c>
      <c r="AB25" s="7">
        <f t="shared" si="11"/>
        <v>0.5</v>
      </c>
    </row>
    <row r="26" spans="1:28"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1</v>
      </c>
      <c r="D28" s="170">
        <f t="shared" ref="D28:AB28" si="14">D20+D21</f>
        <v>1</v>
      </c>
      <c r="E28" s="170">
        <f t="shared" si="14"/>
        <v>1</v>
      </c>
      <c r="F28" s="170">
        <f t="shared" si="14"/>
        <v>1</v>
      </c>
      <c r="G28" s="170">
        <f t="shared" si="14"/>
        <v>1</v>
      </c>
      <c r="H28" s="170">
        <f t="shared" si="14"/>
        <v>0</v>
      </c>
      <c r="I28" s="170">
        <f t="shared" si="14"/>
        <v>1</v>
      </c>
      <c r="J28" s="170">
        <f t="shared" si="14"/>
        <v>1</v>
      </c>
      <c r="K28" s="170">
        <f t="shared" si="14"/>
        <v>1</v>
      </c>
      <c r="L28" s="170">
        <f t="shared" si="14"/>
        <v>1</v>
      </c>
      <c r="M28" s="170">
        <f t="shared" si="14"/>
        <v>1</v>
      </c>
      <c r="N28" s="170">
        <f t="shared" si="14"/>
        <v>1</v>
      </c>
      <c r="O28" s="170">
        <f t="shared" si="14"/>
        <v>1</v>
      </c>
      <c r="P28" s="170">
        <f t="shared" si="14"/>
        <v>1</v>
      </c>
      <c r="Q28" s="170">
        <f t="shared" si="14"/>
        <v>1</v>
      </c>
      <c r="R28" s="170">
        <f t="shared" si="14"/>
        <v>1</v>
      </c>
      <c r="S28" s="170">
        <f t="shared" si="14"/>
        <v>1</v>
      </c>
      <c r="T28" s="170">
        <f t="shared" si="14"/>
        <v>0</v>
      </c>
      <c r="U28" s="170">
        <f t="shared" si="14"/>
        <v>0.5</v>
      </c>
      <c r="V28" s="170">
        <f t="shared" si="14"/>
        <v>0.5</v>
      </c>
      <c r="W28" s="170">
        <f t="shared" si="14"/>
        <v>0.5</v>
      </c>
      <c r="X28" s="170">
        <f t="shared" si="14"/>
        <v>0</v>
      </c>
      <c r="Y28" s="170">
        <f t="shared" si="14"/>
        <v>0.5</v>
      </c>
      <c r="Z28" s="170">
        <f t="shared" si="14"/>
        <v>0.5</v>
      </c>
      <c r="AA28" s="170">
        <f t="shared" si="14"/>
        <v>0.5</v>
      </c>
      <c r="AB28" s="166">
        <f t="shared" si="14"/>
        <v>0.5</v>
      </c>
    </row>
    <row r="29" spans="1:28" ht="15.6" x14ac:dyDescent="0.3">
      <c r="B29" s="110" t="str">
        <f>'Dashboard-1-AVALIAÇÃO INST.'!$A$30</f>
        <v>BOM</v>
      </c>
      <c r="C29" s="171">
        <f>C22</f>
        <v>0</v>
      </c>
      <c r="D29" s="168">
        <f t="shared" ref="D29:AB29" si="15">D22</f>
        <v>0</v>
      </c>
      <c r="E29" s="168">
        <f t="shared" si="15"/>
        <v>0</v>
      </c>
      <c r="F29" s="168">
        <f t="shared" si="15"/>
        <v>0</v>
      </c>
      <c r="G29" s="168">
        <f t="shared" si="15"/>
        <v>0</v>
      </c>
      <c r="H29" s="168">
        <f t="shared" si="15"/>
        <v>0</v>
      </c>
      <c r="I29" s="168">
        <f t="shared" si="15"/>
        <v>0</v>
      </c>
      <c r="J29" s="168">
        <f t="shared" si="15"/>
        <v>0</v>
      </c>
      <c r="K29" s="168">
        <f t="shared" si="15"/>
        <v>0</v>
      </c>
      <c r="L29" s="168">
        <f t="shared" si="15"/>
        <v>0</v>
      </c>
      <c r="M29" s="168">
        <f t="shared" si="15"/>
        <v>0</v>
      </c>
      <c r="N29" s="168">
        <f t="shared" si="15"/>
        <v>0</v>
      </c>
      <c r="O29" s="168">
        <f t="shared" si="15"/>
        <v>0</v>
      </c>
      <c r="P29" s="168">
        <f t="shared" si="15"/>
        <v>0</v>
      </c>
      <c r="Q29" s="168">
        <f t="shared" si="15"/>
        <v>0</v>
      </c>
      <c r="R29" s="168">
        <f t="shared" si="15"/>
        <v>0</v>
      </c>
      <c r="S29" s="168">
        <f t="shared" si="15"/>
        <v>0</v>
      </c>
      <c r="T29" s="168">
        <f t="shared" si="15"/>
        <v>0</v>
      </c>
      <c r="U29" s="168">
        <f t="shared" si="15"/>
        <v>0</v>
      </c>
      <c r="V29" s="168">
        <f t="shared" si="15"/>
        <v>0</v>
      </c>
      <c r="W29" s="168">
        <f t="shared" si="15"/>
        <v>0</v>
      </c>
      <c r="X29" s="168">
        <f t="shared" si="15"/>
        <v>0.5</v>
      </c>
      <c r="Y29" s="168">
        <f t="shared" si="15"/>
        <v>0</v>
      </c>
      <c r="Z29" s="168">
        <f t="shared" si="15"/>
        <v>0</v>
      </c>
      <c r="AA29" s="168">
        <f t="shared" si="15"/>
        <v>0</v>
      </c>
      <c r="AB29" s="167">
        <f t="shared" si="15"/>
        <v>0</v>
      </c>
    </row>
    <row r="30" spans="1:28" ht="15.6" x14ac:dyDescent="0.3">
      <c r="B30" s="110" t="str">
        <f>'Dashboard-1-AVALIAÇÃO INST.'!$A$31</f>
        <v>RUIM / REGULAR</v>
      </c>
      <c r="C30" s="171">
        <f>C23+C24</f>
        <v>0</v>
      </c>
      <c r="D30" s="168">
        <f t="shared" ref="D30:AB30" si="16">D23+D24</f>
        <v>0</v>
      </c>
      <c r="E30" s="168">
        <f t="shared" si="16"/>
        <v>0</v>
      </c>
      <c r="F30" s="168">
        <f t="shared" si="16"/>
        <v>0</v>
      </c>
      <c r="G30" s="168">
        <f t="shared" si="16"/>
        <v>0</v>
      </c>
      <c r="H30" s="168">
        <f t="shared" si="16"/>
        <v>0</v>
      </c>
      <c r="I30" s="168">
        <f t="shared" si="16"/>
        <v>0</v>
      </c>
      <c r="J30" s="168">
        <f t="shared" si="16"/>
        <v>0</v>
      </c>
      <c r="K30" s="168">
        <f t="shared" si="16"/>
        <v>0</v>
      </c>
      <c r="L30" s="168">
        <f t="shared" si="16"/>
        <v>0</v>
      </c>
      <c r="M30" s="168">
        <f t="shared" si="16"/>
        <v>0</v>
      </c>
      <c r="N30" s="168">
        <f t="shared" si="16"/>
        <v>0</v>
      </c>
      <c r="O30" s="168">
        <f t="shared" si="16"/>
        <v>0</v>
      </c>
      <c r="P30" s="168">
        <f t="shared" si="16"/>
        <v>0</v>
      </c>
      <c r="Q30" s="168">
        <f t="shared" si="16"/>
        <v>0</v>
      </c>
      <c r="R30" s="168">
        <f t="shared" si="16"/>
        <v>0</v>
      </c>
      <c r="S30" s="168">
        <f t="shared" si="16"/>
        <v>0</v>
      </c>
      <c r="T30" s="168">
        <f t="shared" si="16"/>
        <v>0</v>
      </c>
      <c r="U30" s="168">
        <f t="shared" si="16"/>
        <v>0</v>
      </c>
      <c r="V30" s="168">
        <f t="shared" si="16"/>
        <v>0</v>
      </c>
      <c r="W30" s="168">
        <f t="shared" si="16"/>
        <v>0</v>
      </c>
      <c r="X30" s="168">
        <f t="shared" si="16"/>
        <v>0</v>
      </c>
      <c r="Y30" s="168">
        <f t="shared" si="16"/>
        <v>0</v>
      </c>
      <c r="Z30" s="168">
        <f t="shared" si="16"/>
        <v>0</v>
      </c>
      <c r="AA30" s="168">
        <f t="shared" si="16"/>
        <v>0</v>
      </c>
      <c r="AB30" s="167">
        <f t="shared" si="16"/>
        <v>0</v>
      </c>
    </row>
    <row r="31" spans="1:28" ht="15.6" x14ac:dyDescent="0.3">
      <c r="B31" s="111" t="str">
        <f>'Dashboard-1-AVALIAÇÃO INST.'!$A$32</f>
        <v>NÃO SE APLICA / NÃO SEI</v>
      </c>
      <c r="C31" s="172">
        <f>C25</f>
        <v>0</v>
      </c>
      <c r="D31" s="173">
        <f t="shared" ref="D31:AB31" si="17">D25</f>
        <v>0</v>
      </c>
      <c r="E31" s="173">
        <f t="shared" si="17"/>
        <v>0</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v>
      </c>
      <c r="P31" s="173">
        <f t="shared" si="17"/>
        <v>0</v>
      </c>
      <c r="Q31" s="173">
        <f t="shared" si="17"/>
        <v>0</v>
      </c>
      <c r="R31" s="173">
        <f t="shared" si="17"/>
        <v>0</v>
      </c>
      <c r="S31" s="173">
        <f t="shared" si="17"/>
        <v>0</v>
      </c>
      <c r="T31" s="173">
        <f t="shared" si="17"/>
        <v>0</v>
      </c>
      <c r="U31" s="173">
        <f t="shared" si="17"/>
        <v>0.5</v>
      </c>
      <c r="V31" s="173">
        <f t="shared" si="17"/>
        <v>0.5</v>
      </c>
      <c r="W31" s="173">
        <f t="shared" si="17"/>
        <v>0.5</v>
      </c>
      <c r="X31" s="173">
        <f t="shared" si="17"/>
        <v>0.5</v>
      </c>
      <c r="Y31" s="173">
        <f t="shared" si="17"/>
        <v>0.5</v>
      </c>
      <c r="Z31" s="173">
        <f t="shared" si="17"/>
        <v>0.5</v>
      </c>
      <c r="AA31" s="173">
        <f t="shared" si="17"/>
        <v>0.5</v>
      </c>
      <c r="AB31" s="174">
        <f t="shared" si="17"/>
        <v>0.5</v>
      </c>
    </row>
    <row r="32" spans="1:28" x14ac:dyDescent="0.25">
      <c r="A32" s="5" t="s">
        <v>211</v>
      </c>
      <c r="B32" s="91"/>
      <c r="C32" s="165">
        <f>SUM(C28:C31)</f>
        <v>1</v>
      </c>
      <c r="D32" s="165">
        <f t="shared" ref="D32" si="18">SUM(D28:D31)</f>
        <v>1</v>
      </c>
      <c r="E32" s="165">
        <f t="shared" ref="E32" si="19">SUM(E28:E31)</f>
        <v>1</v>
      </c>
      <c r="F32" s="165">
        <f t="shared" ref="F32" si="20">SUM(F28:F31)</f>
        <v>1</v>
      </c>
      <c r="G32" s="165">
        <f t="shared" ref="G32" si="21">SUM(G28:G31)</f>
        <v>1</v>
      </c>
      <c r="H32" s="165">
        <f t="shared" ref="H32" si="22">SUM(H28:H31)</f>
        <v>0</v>
      </c>
      <c r="I32" s="165">
        <f t="shared" ref="I32" si="23">SUM(I28:I31)</f>
        <v>1</v>
      </c>
      <c r="J32" s="165">
        <f t="shared" ref="J32" si="24">SUM(J28:J31)</f>
        <v>1</v>
      </c>
      <c r="K32" s="165">
        <f t="shared" ref="K32" si="25">SUM(K28:K31)</f>
        <v>1</v>
      </c>
      <c r="L32" s="165">
        <f t="shared" ref="L32" si="26">SUM(L28:L31)</f>
        <v>1</v>
      </c>
      <c r="M32" s="165">
        <f t="shared" ref="M32" si="27">SUM(M28:M31)</f>
        <v>1</v>
      </c>
      <c r="N32" s="165">
        <f t="shared" ref="N32" si="28">SUM(N28:N31)</f>
        <v>1</v>
      </c>
      <c r="O32" s="165">
        <f t="shared" ref="O32" si="29">SUM(O28:O31)</f>
        <v>1</v>
      </c>
      <c r="P32" s="165">
        <f t="shared" ref="P32" si="30">SUM(P28:P31)</f>
        <v>1</v>
      </c>
      <c r="Q32" s="165">
        <f t="shared" ref="Q32" si="31">SUM(Q28:Q31)</f>
        <v>1</v>
      </c>
      <c r="R32" s="165">
        <f t="shared" ref="R32" si="32">SUM(R28:R31)</f>
        <v>1</v>
      </c>
      <c r="S32" s="165">
        <f t="shared" ref="S32" si="33">SUM(S28:S31)</f>
        <v>1</v>
      </c>
      <c r="T32" s="165">
        <f t="shared" ref="T32" si="34">SUM(T28:T31)</f>
        <v>0</v>
      </c>
      <c r="U32" s="165">
        <f t="shared" ref="U32" si="35">SUM(U28:U31)</f>
        <v>1</v>
      </c>
      <c r="V32" s="165">
        <f t="shared" ref="V32" si="36">SUM(V28:V31)</f>
        <v>1</v>
      </c>
      <c r="W32" s="165">
        <f t="shared" ref="W32" si="37">SUM(W28:W31)</f>
        <v>1</v>
      </c>
      <c r="X32" s="165">
        <f t="shared" ref="X32" si="38">SUM(X28:X31)</f>
        <v>1</v>
      </c>
      <c r="Y32" s="165">
        <f t="shared" ref="Y32" si="39">SUM(Y28:Y31)</f>
        <v>1</v>
      </c>
      <c r="Z32" s="165">
        <f t="shared" ref="Z32" si="40">SUM(Z28:Z31)</f>
        <v>1</v>
      </c>
      <c r="AA32" s="165">
        <f t="shared" ref="AA32" si="41">SUM(AA28:AA31)</f>
        <v>1</v>
      </c>
      <c r="AB32" s="165">
        <f t="shared" ref="AB32" si="42">SUM(AB28:AB31)</f>
        <v>1</v>
      </c>
    </row>
    <row r="33" spans="1:2" x14ac:dyDescent="0.25">
      <c r="A33" s="6">
        <f>COUNT(C2:C7)</f>
        <v>2</v>
      </c>
    </row>
    <row r="35" spans="1:2" x14ac:dyDescent="0.25">
      <c r="A35" s="55" t="s">
        <v>30</v>
      </c>
      <c r="B35" s="55">
        <f>COUNTIF(B$2:B$19,"DISCENTE")</f>
        <v>1</v>
      </c>
    </row>
    <row r="36" spans="1:2" x14ac:dyDescent="0.25">
      <c r="A36" s="55" t="s">
        <v>29</v>
      </c>
      <c r="B36" s="55">
        <f>COUNTIF(B$2:B$19,"DOCENTE")</f>
        <v>1</v>
      </c>
    </row>
    <row r="37" spans="1:2" ht="13.8" x14ac:dyDescent="0.25">
      <c r="B37" s="56" t="str">
        <f>IF(B35+B36=A33,"Verificado","Erro")</f>
        <v>Verificado</v>
      </c>
    </row>
  </sheetData>
  <sheetProtection algorithmName="SHA-512" hashValue="o9l+WAXhrR8BE6q5DW1Wbc/gUPcxhCTI4P9xegvz59Qo9A+NBZ6adY3tq7oMZYjEAhB68vZDWPOT4zfPFScZBw==" saltValue="gdLVQ8kG+/yyXXonLGphaA==" spinCount="100000" sheet="1" objects="1" scenarios="1"/>
  <conditionalFormatting sqref="C20:G25 I20:S25 U20:AB25">
    <cfRule type="colorScale" priority="5">
      <colorScale>
        <cfvo type="min"/>
        <cfvo type="max"/>
        <color rgb="FFFCFCFF"/>
        <color rgb="FF63BE7B"/>
      </colorScale>
    </cfRule>
  </conditionalFormatting>
  <conditionalFormatting sqref="C26:G26">
    <cfRule type="iconSet" priority="10">
      <iconSet iconSet="3Flags">
        <cfvo type="percent" val="0"/>
        <cfvo type="percent" val="33"/>
        <cfvo type="percent" val="67"/>
      </iconSet>
    </cfRule>
    <cfRule type="containsText" dxfId="8" priority="11" operator="containsText" text="Conferido!">
      <formula>NOT(ISERROR(SEARCH("Conferido!",C26)))</formula>
    </cfRule>
  </conditionalFormatting>
  <conditionalFormatting sqref="C20:AB23 U25:AB25 T25:T27 I25:S25 C24:G25 I24:AB24 H24:H27 H33">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7"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6" priority="7" operator="containsText" text="Conferido!">
      <formula>NOT(ISERROR(SEARCH("Conferido!",U26)))</formula>
    </cfRule>
  </conditionalFormatting>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7A516-7538-4290-9138-0155BF9E555B}">
  <sheetPr codeName="Planilha16"/>
  <dimension ref="A1:AC37"/>
  <sheetViews>
    <sheetView zoomScale="60" zoomScaleNormal="60" workbookViewId="0">
      <pane ySplit="1" topLeftCell="A2" activePane="bottomLeft" state="frozen"/>
      <selection activeCell="AN69" sqref="AN69"/>
      <selection pane="bottomLeft" activeCell="E37" sqref="E37"/>
    </sheetView>
  </sheetViews>
  <sheetFormatPr defaultColWidth="8.77734375" defaultRowHeight="13.2" x14ac:dyDescent="0.25"/>
  <cols>
    <col min="1" max="1" width="19" bestFit="1" customWidth="1"/>
    <col min="2" max="2" width="54.21875" bestFit="1" customWidth="1"/>
    <col min="8" max="8" width="0" hidden="1"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44274.475095277783</v>
      </c>
      <c r="B2" s="1" t="s">
        <v>30</v>
      </c>
      <c r="C2" s="1">
        <v>5</v>
      </c>
      <c r="D2" s="1">
        <v>5</v>
      </c>
      <c r="E2" s="1">
        <v>5</v>
      </c>
      <c r="F2" s="1">
        <v>5</v>
      </c>
      <c r="G2" s="1">
        <v>5</v>
      </c>
      <c r="I2" s="1">
        <v>5</v>
      </c>
      <c r="J2" s="1">
        <v>5</v>
      </c>
      <c r="K2" s="1">
        <v>5</v>
      </c>
      <c r="L2" s="1">
        <v>5</v>
      </c>
      <c r="M2" s="1">
        <v>5</v>
      </c>
      <c r="N2" s="1">
        <v>5</v>
      </c>
      <c r="O2" s="1">
        <v>4</v>
      </c>
      <c r="P2" s="1">
        <v>3</v>
      </c>
      <c r="Q2" s="1">
        <v>5</v>
      </c>
      <c r="R2" s="1">
        <v>5</v>
      </c>
      <c r="S2" s="1">
        <v>5</v>
      </c>
      <c r="U2" s="1">
        <v>5</v>
      </c>
      <c r="V2" s="1">
        <v>5</v>
      </c>
      <c r="W2" s="1">
        <v>5</v>
      </c>
      <c r="X2" s="1">
        <v>1</v>
      </c>
      <c r="Y2" s="1">
        <v>5</v>
      </c>
      <c r="Z2" s="1">
        <v>5</v>
      </c>
      <c r="AA2" s="1">
        <v>5</v>
      </c>
      <c r="AB2" s="1">
        <v>0</v>
      </c>
    </row>
    <row r="3" spans="1:29" x14ac:dyDescent="0.25">
      <c r="A3" s="2">
        <v>44275.412630659717</v>
      </c>
      <c r="B3" s="1" t="s">
        <v>30</v>
      </c>
      <c r="C3" s="1">
        <v>5</v>
      </c>
      <c r="D3" s="1">
        <v>5</v>
      </c>
      <c r="E3" s="1">
        <v>5</v>
      </c>
      <c r="F3" s="1">
        <v>5</v>
      </c>
      <c r="G3" s="1">
        <v>5</v>
      </c>
      <c r="I3" s="1">
        <v>5</v>
      </c>
      <c r="J3" s="1">
        <v>5</v>
      </c>
      <c r="K3" s="1">
        <v>5</v>
      </c>
      <c r="L3" s="1">
        <v>5</v>
      </c>
      <c r="M3" s="1">
        <v>5</v>
      </c>
      <c r="N3" s="1">
        <v>5</v>
      </c>
      <c r="O3" s="1">
        <v>5</v>
      </c>
      <c r="P3" s="1">
        <v>5</v>
      </c>
      <c r="Q3" s="1">
        <v>5</v>
      </c>
      <c r="R3" s="1">
        <v>5</v>
      </c>
      <c r="S3" s="1">
        <v>5</v>
      </c>
      <c r="U3" s="1">
        <v>4</v>
      </c>
      <c r="V3" s="1">
        <v>4</v>
      </c>
      <c r="W3" s="1">
        <v>5</v>
      </c>
      <c r="X3" s="1">
        <v>5</v>
      </c>
      <c r="Y3" s="1">
        <v>4</v>
      </c>
      <c r="Z3" s="1">
        <v>4</v>
      </c>
      <c r="AA3" s="1">
        <v>5</v>
      </c>
      <c r="AB3" s="1">
        <v>0</v>
      </c>
    </row>
    <row r="4" spans="1:29" x14ac:dyDescent="0.25">
      <c r="A4" s="2">
        <v>44276.475887141205</v>
      </c>
      <c r="B4" s="1" t="s">
        <v>30</v>
      </c>
      <c r="C4" s="1">
        <v>5</v>
      </c>
      <c r="D4" s="1">
        <v>5</v>
      </c>
      <c r="E4" s="1">
        <v>5</v>
      </c>
      <c r="F4" s="1">
        <v>5</v>
      </c>
      <c r="G4" s="1">
        <v>5</v>
      </c>
      <c r="I4" s="1">
        <v>5</v>
      </c>
      <c r="J4" s="1">
        <v>5</v>
      </c>
      <c r="K4" s="1">
        <v>5</v>
      </c>
      <c r="L4" s="1">
        <v>5</v>
      </c>
      <c r="M4" s="1">
        <v>5</v>
      </c>
      <c r="N4" s="1">
        <v>5</v>
      </c>
      <c r="O4" s="1">
        <v>5</v>
      </c>
      <c r="P4" s="1">
        <v>5</v>
      </c>
      <c r="Q4" s="1">
        <v>5</v>
      </c>
      <c r="R4" s="1">
        <v>5</v>
      </c>
      <c r="S4" s="1">
        <v>5</v>
      </c>
      <c r="U4" s="1">
        <v>4</v>
      </c>
      <c r="V4" s="1">
        <v>5</v>
      </c>
      <c r="W4" s="1">
        <v>5</v>
      </c>
      <c r="X4" s="1">
        <v>4</v>
      </c>
      <c r="Y4" s="1">
        <v>4</v>
      </c>
      <c r="Z4" s="1">
        <v>4</v>
      </c>
      <c r="AA4" s="1">
        <v>5</v>
      </c>
      <c r="AB4" s="1">
        <v>3</v>
      </c>
    </row>
    <row r="5" spans="1:29" ht="15.75" customHeight="1" x14ac:dyDescent="0.25"/>
    <row r="10" spans="1:29" ht="15.75" customHeight="1" x14ac:dyDescent="0.25"/>
    <row r="11" spans="1:29" ht="15.75" customHeight="1" x14ac:dyDescent="0.25"/>
    <row r="12" spans="1:29" ht="15.75" customHeight="1" x14ac:dyDescent="0.25"/>
    <row r="13" spans="1:29" ht="15.75" customHeight="1" x14ac:dyDescent="0.25"/>
    <row r="14" spans="1:29" ht="15.75" customHeight="1" x14ac:dyDescent="0.25"/>
    <row r="15" spans="1:29" ht="15.75" customHeight="1" x14ac:dyDescent="0.25"/>
    <row r="16" spans="1:29" ht="15.75" customHeight="1" x14ac:dyDescent="0.25"/>
    <row r="17" spans="1:28" ht="15.75" customHeight="1" x14ac:dyDescent="0.25"/>
    <row r="19" spans="1:28"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x14ac:dyDescent="0.25">
      <c r="B20" s="10" t="str">
        <f>'Dashboard-1-AVALIAÇÃO INST.'!$A$21</f>
        <v>5-ÓTIMO</v>
      </c>
      <c r="C20" s="7">
        <f>COUNTIFS(C$2:C$17,5)/$A$33</f>
        <v>1</v>
      </c>
      <c r="D20" s="7">
        <f>COUNTIFS(D$2:D$17,5)/$A$33</f>
        <v>1</v>
      </c>
      <c r="E20" s="7">
        <f>COUNTIFS(E$2:E$17,5)/$A$33</f>
        <v>1</v>
      </c>
      <c r="F20" s="7">
        <f>COUNTIFS(F$2:F$17,5)/$A$33</f>
        <v>1</v>
      </c>
      <c r="G20" s="7">
        <f>COUNTIFS(G$2:G$17,5)/$A$33</f>
        <v>1</v>
      </c>
      <c r="I20" s="7">
        <f t="shared" ref="I20:S20" si="0">COUNTIFS(I$2:I$17,5)/$A$33</f>
        <v>1</v>
      </c>
      <c r="J20" s="7">
        <f t="shared" si="0"/>
        <v>1</v>
      </c>
      <c r="K20" s="7">
        <f t="shared" si="0"/>
        <v>1</v>
      </c>
      <c r="L20" s="7">
        <f t="shared" si="0"/>
        <v>1</v>
      </c>
      <c r="M20" s="7">
        <f t="shared" si="0"/>
        <v>1</v>
      </c>
      <c r="N20" s="7">
        <f t="shared" si="0"/>
        <v>1</v>
      </c>
      <c r="O20" s="7">
        <f t="shared" si="0"/>
        <v>0.66666666666666663</v>
      </c>
      <c r="P20" s="7">
        <f t="shared" si="0"/>
        <v>0.66666666666666663</v>
      </c>
      <c r="Q20" s="7">
        <f t="shared" si="0"/>
        <v>1</v>
      </c>
      <c r="R20" s="7">
        <f t="shared" si="0"/>
        <v>1</v>
      </c>
      <c r="S20" s="7">
        <f t="shared" si="0"/>
        <v>1</v>
      </c>
      <c r="U20" s="7">
        <f t="shared" ref="U20:AB20" si="1">COUNTIFS(U$2:U$17,5)/$A$33</f>
        <v>0.33333333333333331</v>
      </c>
      <c r="V20" s="7">
        <f t="shared" si="1"/>
        <v>0.66666666666666663</v>
      </c>
      <c r="W20" s="7">
        <f t="shared" si="1"/>
        <v>1</v>
      </c>
      <c r="X20" s="7">
        <f t="shared" si="1"/>
        <v>0.33333333333333331</v>
      </c>
      <c r="Y20" s="7">
        <f t="shared" si="1"/>
        <v>0.33333333333333331</v>
      </c>
      <c r="Z20" s="7">
        <f t="shared" si="1"/>
        <v>0.33333333333333331</v>
      </c>
      <c r="AA20" s="7">
        <f t="shared" si="1"/>
        <v>1</v>
      </c>
      <c r="AB20" s="7">
        <f t="shared" si="1"/>
        <v>0</v>
      </c>
    </row>
    <row r="21" spans="1:28" x14ac:dyDescent="0.25">
      <c r="B21" s="10" t="str">
        <f>'Dashboard-1-AVALIAÇÃO INST.'!$A$22</f>
        <v>4-MUITO BOM</v>
      </c>
      <c r="C21" s="7">
        <f>COUNTIFS(C$2:C$17,4)/$A$33</f>
        <v>0</v>
      </c>
      <c r="D21" s="7">
        <f>COUNTIFS(D$2:D$17,4)/$A$33</f>
        <v>0</v>
      </c>
      <c r="E21" s="7">
        <f>COUNTIFS(E$2:E$17,4)/$A$33</f>
        <v>0</v>
      </c>
      <c r="F21" s="7">
        <f>COUNTIFS(F$2:F$17,4)/$A$33</f>
        <v>0</v>
      </c>
      <c r="G21" s="7">
        <f>COUNTIFS(G$2:G$17,4)/$A$33</f>
        <v>0</v>
      </c>
      <c r="I21" s="7">
        <f t="shared" ref="I21:S21" si="2">COUNTIFS(I$2:I$17,4)/$A$33</f>
        <v>0</v>
      </c>
      <c r="J21" s="7">
        <f t="shared" si="2"/>
        <v>0</v>
      </c>
      <c r="K21" s="7">
        <f t="shared" si="2"/>
        <v>0</v>
      </c>
      <c r="L21" s="7">
        <f t="shared" si="2"/>
        <v>0</v>
      </c>
      <c r="M21" s="7">
        <f t="shared" si="2"/>
        <v>0</v>
      </c>
      <c r="N21" s="7">
        <f t="shared" si="2"/>
        <v>0</v>
      </c>
      <c r="O21" s="7">
        <f t="shared" si="2"/>
        <v>0.33333333333333331</v>
      </c>
      <c r="P21" s="7">
        <f t="shared" si="2"/>
        <v>0</v>
      </c>
      <c r="Q21" s="7">
        <f t="shared" si="2"/>
        <v>0</v>
      </c>
      <c r="R21" s="7">
        <f t="shared" si="2"/>
        <v>0</v>
      </c>
      <c r="S21" s="7">
        <f t="shared" si="2"/>
        <v>0</v>
      </c>
      <c r="U21" s="7">
        <f t="shared" ref="U21:AB21" si="3">COUNTIFS(U$2:U$17,4)/$A$33</f>
        <v>0.66666666666666663</v>
      </c>
      <c r="V21" s="7">
        <f t="shared" si="3"/>
        <v>0.33333333333333331</v>
      </c>
      <c r="W21" s="7">
        <f t="shared" si="3"/>
        <v>0</v>
      </c>
      <c r="X21" s="7">
        <f t="shared" si="3"/>
        <v>0.33333333333333331</v>
      </c>
      <c r="Y21" s="7">
        <f t="shared" si="3"/>
        <v>0.66666666666666663</v>
      </c>
      <c r="Z21" s="7">
        <f t="shared" si="3"/>
        <v>0.66666666666666663</v>
      </c>
      <c r="AA21" s="7">
        <f t="shared" si="3"/>
        <v>0</v>
      </c>
      <c r="AB21" s="7">
        <f t="shared" si="3"/>
        <v>0</v>
      </c>
    </row>
    <row r="22" spans="1:28" x14ac:dyDescent="0.25">
      <c r="B22" s="10" t="str">
        <f>'Dashboard-1-AVALIAÇÃO INST.'!$A$23</f>
        <v>3-BOM</v>
      </c>
      <c r="C22" s="7">
        <f>COUNTIFS(C$2:C$17,3)/$A$33</f>
        <v>0</v>
      </c>
      <c r="D22" s="7">
        <f>COUNTIFS(D$2:D$17,3)/$A$33</f>
        <v>0</v>
      </c>
      <c r="E22" s="7">
        <f>COUNTIFS(E$2:E$17,3)/$A$33</f>
        <v>0</v>
      </c>
      <c r="F22" s="7">
        <f>COUNTIFS(F$2:F$17,3)/$A$33</f>
        <v>0</v>
      </c>
      <c r="G22" s="7">
        <f>COUNTIFS(G$2:G$17,3)/$A$33</f>
        <v>0</v>
      </c>
      <c r="I22" s="7">
        <f t="shared" ref="I22:S22" si="4">COUNTIFS(I$2:I$17,3)/$A$33</f>
        <v>0</v>
      </c>
      <c r="J22" s="7">
        <f t="shared" si="4"/>
        <v>0</v>
      </c>
      <c r="K22" s="7">
        <f t="shared" si="4"/>
        <v>0</v>
      </c>
      <c r="L22" s="7">
        <f t="shared" si="4"/>
        <v>0</v>
      </c>
      <c r="M22" s="7">
        <f t="shared" si="4"/>
        <v>0</v>
      </c>
      <c r="N22" s="7">
        <f t="shared" si="4"/>
        <v>0</v>
      </c>
      <c r="O22" s="7">
        <f t="shared" si="4"/>
        <v>0</v>
      </c>
      <c r="P22" s="7">
        <f t="shared" si="4"/>
        <v>0.33333333333333331</v>
      </c>
      <c r="Q22" s="7">
        <f t="shared" si="4"/>
        <v>0</v>
      </c>
      <c r="R22" s="7">
        <f t="shared" si="4"/>
        <v>0</v>
      </c>
      <c r="S22" s="7">
        <f t="shared" si="4"/>
        <v>0</v>
      </c>
      <c r="U22" s="7">
        <f t="shared" ref="U22:AB22" si="5">COUNTIFS(U$2:U$17,3)/$A$33</f>
        <v>0</v>
      </c>
      <c r="V22" s="7">
        <f t="shared" si="5"/>
        <v>0</v>
      </c>
      <c r="W22" s="7">
        <f t="shared" si="5"/>
        <v>0</v>
      </c>
      <c r="X22" s="7">
        <f t="shared" si="5"/>
        <v>0</v>
      </c>
      <c r="Y22" s="7">
        <f t="shared" si="5"/>
        <v>0</v>
      </c>
      <c r="Z22" s="7">
        <f t="shared" si="5"/>
        <v>0</v>
      </c>
      <c r="AA22" s="7">
        <f t="shared" si="5"/>
        <v>0</v>
      </c>
      <c r="AB22" s="7">
        <f t="shared" si="5"/>
        <v>0.33333333333333331</v>
      </c>
    </row>
    <row r="23" spans="1:28" x14ac:dyDescent="0.25">
      <c r="B23" s="10" t="str">
        <f>'Dashboard-1-AVALIAÇÃO INST.'!$A$24</f>
        <v>2-REGULAR</v>
      </c>
      <c r="C23" s="7">
        <f>COUNTIFS(C$2:C$17,2)/$A$33</f>
        <v>0</v>
      </c>
      <c r="D23" s="7">
        <f>COUNTIFS(D$2:D$17,2)/$A$33</f>
        <v>0</v>
      </c>
      <c r="E23" s="7">
        <f>COUNTIFS(E$2:E$17,2)/$A$33</f>
        <v>0</v>
      </c>
      <c r="F23" s="7">
        <f>COUNTIFS(F$2:F$17,2)/$A$33</f>
        <v>0</v>
      </c>
      <c r="G23" s="7">
        <f>COUNTIFS(G$2:G$17,2)/$A$33</f>
        <v>0</v>
      </c>
      <c r="I23" s="7">
        <f t="shared" ref="I23:S23" si="6">COUNTIFS(I$2:I$17,2)/$A$33</f>
        <v>0</v>
      </c>
      <c r="J23" s="7">
        <f t="shared" si="6"/>
        <v>0</v>
      </c>
      <c r="K23" s="7">
        <f t="shared" si="6"/>
        <v>0</v>
      </c>
      <c r="L23" s="7">
        <f t="shared" si="6"/>
        <v>0</v>
      </c>
      <c r="M23" s="7">
        <f t="shared" si="6"/>
        <v>0</v>
      </c>
      <c r="N23" s="7">
        <f t="shared" si="6"/>
        <v>0</v>
      </c>
      <c r="O23" s="7">
        <f t="shared" si="6"/>
        <v>0</v>
      </c>
      <c r="P23" s="7">
        <f t="shared" si="6"/>
        <v>0</v>
      </c>
      <c r="Q23" s="7">
        <f t="shared" si="6"/>
        <v>0</v>
      </c>
      <c r="R23" s="7">
        <f t="shared" si="6"/>
        <v>0</v>
      </c>
      <c r="S23" s="7">
        <f t="shared" si="6"/>
        <v>0</v>
      </c>
      <c r="U23" s="7">
        <f t="shared" ref="U23:AB23" si="7">COUNTIFS(U$2:U$17,2)/$A$33</f>
        <v>0</v>
      </c>
      <c r="V23" s="7">
        <f t="shared" si="7"/>
        <v>0</v>
      </c>
      <c r="W23" s="7">
        <f t="shared" si="7"/>
        <v>0</v>
      </c>
      <c r="X23" s="7">
        <f t="shared" si="7"/>
        <v>0</v>
      </c>
      <c r="Y23" s="7">
        <f t="shared" si="7"/>
        <v>0</v>
      </c>
      <c r="Z23" s="7">
        <f t="shared" si="7"/>
        <v>0</v>
      </c>
      <c r="AA23" s="7">
        <f t="shared" si="7"/>
        <v>0</v>
      </c>
      <c r="AB23" s="7">
        <f t="shared" si="7"/>
        <v>0</v>
      </c>
    </row>
    <row r="24" spans="1:28" x14ac:dyDescent="0.25">
      <c r="B24" s="10" t="str">
        <f>'Dashboard-1-AVALIAÇÃO INST.'!$A$25</f>
        <v>1-RUIM</v>
      </c>
      <c r="C24" s="7">
        <f>COUNTIFS(C$2:C$17,1)/$A$33</f>
        <v>0</v>
      </c>
      <c r="D24" s="7">
        <f>COUNTIFS(D$2:D$17,1)/$A$33</f>
        <v>0</v>
      </c>
      <c r="E24" s="7">
        <f>COUNTIFS(E$2:E$17,1)/$A$33</f>
        <v>0</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0</v>
      </c>
      <c r="Q24" s="7">
        <f t="shared" si="8"/>
        <v>0</v>
      </c>
      <c r="R24" s="7">
        <f t="shared" si="8"/>
        <v>0</v>
      </c>
      <c r="S24" s="7">
        <f t="shared" si="8"/>
        <v>0</v>
      </c>
      <c r="U24" s="7">
        <f t="shared" ref="U24:AB24" si="9">COUNTIFS(U$2:U$17,1)/$A$33</f>
        <v>0</v>
      </c>
      <c r="V24" s="7">
        <f t="shared" si="9"/>
        <v>0</v>
      </c>
      <c r="W24" s="7">
        <f t="shared" si="9"/>
        <v>0</v>
      </c>
      <c r="X24" s="7">
        <f t="shared" si="9"/>
        <v>0.33333333333333331</v>
      </c>
      <c r="Y24" s="7">
        <f t="shared" si="9"/>
        <v>0</v>
      </c>
      <c r="Z24" s="7">
        <f t="shared" si="9"/>
        <v>0</v>
      </c>
      <c r="AA24" s="7">
        <f t="shared" si="9"/>
        <v>0</v>
      </c>
      <c r="AB24" s="7">
        <f t="shared" si="9"/>
        <v>0</v>
      </c>
    </row>
    <row r="25" spans="1:28" x14ac:dyDescent="0.25">
      <c r="B25" s="10" t="str">
        <f>'Dashboard-1-AVALIAÇÃO INST.'!$A$26</f>
        <v>0-NÃO SE APLICA</v>
      </c>
      <c r="C25" s="7">
        <f>COUNTIFS(C$2:C$17,0)/$A$33</f>
        <v>0</v>
      </c>
      <c r="D25" s="7">
        <f>COUNTIFS(D$2:D$17,0)/$A$33</f>
        <v>0</v>
      </c>
      <c r="E25" s="7">
        <f>COUNTIFS(E$2:E$17,0)/$A$33</f>
        <v>0</v>
      </c>
      <c r="F25" s="7">
        <f>COUNTIFS(F$2:F$17,0)/$A$33</f>
        <v>0</v>
      </c>
      <c r="G25" s="7">
        <f>COUNTIFS(G$2:G$17,0)/$A$33</f>
        <v>0</v>
      </c>
      <c r="I25" s="7">
        <f t="shared" ref="I25:S25" si="10">COUNTIFS(I$2:I$17,0)/$A$33</f>
        <v>0</v>
      </c>
      <c r="J25" s="7">
        <f t="shared" si="10"/>
        <v>0</v>
      </c>
      <c r="K25" s="7">
        <f t="shared" si="10"/>
        <v>0</v>
      </c>
      <c r="L25" s="7">
        <f t="shared" si="10"/>
        <v>0</v>
      </c>
      <c r="M25" s="7">
        <f t="shared" si="10"/>
        <v>0</v>
      </c>
      <c r="N25" s="7">
        <f t="shared" si="10"/>
        <v>0</v>
      </c>
      <c r="O25" s="7">
        <f t="shared" si="10"/>
        <v>0</v>
      </c>
      <c r="P25" s="7">
        <f t="shared" si="10"/>
        <v>0</v>
      </c>
      <c r="Q25" s="7">
        <f t="shared" si="10"/>
        <v>0</v>
      </c>
      <c r="R25" s="7">
        <f t="shared" si="10"/>
        <v>0</v>
      </c>
      <c r="S25" s="7">
        <f t="shared" si="10"/>
        <v>0</v>
      </c>
      <c r="U25" s="7">
        <f t="shared" ref="U25:AB25" si="11">COUNTIFS(U$2:U$17,0)/$A$33</f>
        <v>0</v>
      </c>
      <c r="V25" s="7">
        <f t="shared" si="11"/>
        <v>0</v>
      </c>
      <c r="W25" s="7">
        <f t="shared" si="11"/>
        <v>0</v>
      </c>
      <c r="X25" s="7">
        <f t="shared" si="11"/>
        <v>0</v>
      </c>
      <c r="Y25" s="7">
        <f t="shared" si="11"/>
        <v>0</v>
      </c>
      <c r="Z25" s="7">
        <f t="shared" si="11"/>
        <v>0</v>
      </c>
      <c r="AA25" s="7">
        <f t="shared" si="11"/>
        <v>0</v>
      </c>
      <c r="AB25" s="7">
        <f t="shared" si="11"/>
        <v>0.66666666666666663</v>
      </c>
    </row>
    <row r="26" spans="1:28"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1</v>
      </c>
      <c r="D28" s="170">
        <f t="shared" ref="D28:AB28" si="14">D20+D21</f>
        <v>1</v>
      </c>
      <c r="E28" s="170">
        <f t="shared" si="14"/>
        <v>1</v>
      </c>
      <c r="F28" s="170">
        <f t="shared" si="14"/>
        <v>1</v>
      </c>
      <c r="G28" s="170">
        <f t="shared" si="14"/>
        <v>1</v>
      </c>
      <c r="H28" s="170">
        <f t="shared" si="14"/>
        <v>0</v>
      </c>
      <c r="I28" s="170">
        <f t="shared" si="14"/>
        <v>1</v>
      </c>
      <c r="J28" s="170">
        <f t="shared" si="14"/>
        <v>1</v>
      </c>
      <c r="K28" s="170">
        <f t="shared" si="14"/>
        <v>1</v>
      </c>
      <c r="L28" s="170">
        <f t="shared" si="14"/>
        <v>1</v>
      </c>
      <c r="M28" s="170">
        <f t="shared" si="14"/>
        <v>1</v>
      </c>
      <c r="N28" s="170">
        <f t="shared" si="14"/>
        <v>1</v>
      </c>
      <c r="O28" s="170">
        <f t="shared" si="14"/>
        <v>1</v>
      </c>
      <c r="P28" s="170">
        <f t="shared" si="14"/>
        <v>0.66666666666666663</v>
      </c>
      <c r="Q28" s="170">
        <f t="shared" si="14"/>
        <v>1</v>
      </c>
      <c r="R28" s="170">
        <f t="shared" si="14"/>
        <v>1</v>
      </c>
      <c r="S28" s="170">
        <f t="shared" si="14"/>
        <v>1</v>
      </c>
      <c r="T28" s="170">
        <f t="shared" si="14"/>
        <v>0</v>
      </c>
      <c r="U28" s="170">
        <f t="shared" si="14"/>
        <v>1</v>
      </c>
      <c r="V28" s="170">
        <f t="shared" si="14"/>
        <v>1</v>
      </c>
      <c r="W28" s="170">
        <f t="shared" si="14"/>
        <v>1</v>
      </c>
      <c r="X28" s="170">
        <f t="shared" si="14"/>
        <v>0.66666666666666663</v>
      </c>
      <c r="Y28" s="170">
        <f t="shared" si="14"/>
        <v>1</v>
      </c>
      <c r="Z28" s="170">
        <f t="shared" si="14"/>
        <v>1</v>
      </c>
      <c r="AA28" s="170">
        <f t="shared" si="14"/>
        <v>1</v>
      </c>
      <c r="AB28" s="166">
        <f t="shared" si="14"/>
        <v>0</v>
      </c>
    </row>
    <row r="29" spans="1:28" ht="15.6" x14ac:dyDescent="0.3">
      <c r="B29" s="110" t="str">
        <f>'Dashboard-1-AVALIAÇÃO INST.'!$A$30</f>
        <v>BOM</v>
      </c>
      <c r="C29" s="171">
        <f>C22</f>
        <v>0</v>
      </c>
      <c r="D29" s="168">
        <f t="shared" ref="D29:AB29" si="15">D22</f>
        <v>0</v>
      </c>
      <c r="E29" s="168">
        <f t="shared" si="15"/>
        <v>0</v>
      </c>
      <c r="F29" s="168">
        <f t="shared" si="15"/>
        <v>0</v>
      </c>
      <c r="G29" s="168">
        <f t="shared" si="15"/>
        <v>0</v>
      </c>
      <c r="H29" s="168">
        <f t="shared" si="15"/>
        <v>0</v>
      </c>
      <c r="I29" s="168">
        <f t="shared" si="15"/>
        <v>0</v>
      </c>
      <c r="J29" s="168">
        <f t="shared" si="15"/>
        <v>0</v>
      </c>
      <c r="K29" s="168">
        <f t="shared" si="15"/>
        <v>0</v>
      </c>
      <c r="L29" s="168">
        <f t="shared" si="15"/>
        <v>0</v>
      </c>
      <c r="M29" s="168">
        <f t="shared" si="15"/>
        <v>0</v>
      </c>
      <c r="N29" s="168">
        <f t="shared" si="15"/>
        <v>0</v>
      </c>
      <c r="O29" s="168">
        <f t="shared" si="15"/>
        <v>0</v>
      </c>
      <c r="P29" s="168">
        <f t="shared" si="15"/>
        <v>0.33333333333333331</v>
      </c>
      <c r="Q29" s="168">
        <f t="shared" si="15"/>
        <v>0</v>
      </c>
      <c r="R29" s="168">
        <f t="shared" si="15"/>
        <v>0</v>
      </c>
      <c r="S29" s="168">
        <f t="shared" si="15"/>
        <v>0</v>
      </c>
      <c r="T29" s="168">
        <f t="shared" si="15"/>
        <v>0</v>
      </c>
      <c r="U29" s="168">
        <f t="shared" si="15"/>
        <v>0</v>
      </c>
      <c r="V29" s="168">
        <f t="shared" si="15"/>
        <v>0</v>
      </c>
      <c r="W29" s="168">
        <f t="shared" si="15"/>
        <v>0</v>
      </c>
      <c r="X29" s="168">
        <f t="shared" si="15"/>
        <v>0</v>
      </c>
      <c r="Y29" s="168">
        <f t="shared" si="15"/>
        <v>0</v>
      </c>
      <c r="Z29" s="168">
        <f t="shared" si="15"/>
        <v>0</v>
      </c>
      <c r="AA29" s="168">
        <f t="shared" si="15"/>
        <v>0</v>
      </c>
      <c r="AB29" s="167">
        <f t="shared" si="15"/>
        <v>0.33333333333333331</v>
      </c>
    </row>
    <row r="30" spans="1:28" ht="15.6" x14ac:dyDescent="0.3">
      <c r="B30" s="110" t="str">
        <f>'Dashboard-1-AVALIAÇÃO INST.'!$A$31</f>
        <v>RUIM / REGULAR</v>
      </c>
      <c r="C30" s="171">
        <f>C23+C24</f>
        <v>0</v>
      </c>
      <c r="D30" s="168">
        <f t="shared" ref="D30:AB30" si="16">D23+D24</f>
        <v>0</v>
      </c>
      <c r="E30" s="168">
        <f t="shared" si="16"/>
        <v>0</v>
      </c>
      <c r="F30" s="168">
        <f t="shared" si="16"/>
        <v>0</v>
      </c>
      <c r="G30" s="168">
        <f t="shared" si="16"/>
        <v>0</v>
      </c>
      <c r="H30" s="168">
        <f t="shared" si="16"/>
        <v>0</v>
      </c>
      <c r="I30" s="168">
        <f t="shared" si="16"/>
        <v>0</v>
      </c>
      <c r="J30" s="168">
        <f t="shared" si="16"/>
        <v>0</v>
      </c>
      <c r="K30" s="168">
        <f t="shared" si="16"/>
        <v>0</v>
      </c>
      <c r="L30" s="168">
        <f t="shared" si="16"/>
        <v>0</v>
      </c>
      <c r="M30" s="168">
        <f t="shared" si="16"/>
        <v>0</v>
      </c>
      <c r="N30" s="168">
        <f t="shared" si="16"/>
        <v>0</v>
      </c>
      <c r="O30" s="168">
        <f t="shared" si="16"/>
        <v>0</v>
      </c>
      <c r="P30" s="168">
        <f t="shared" si="16"/>
        <v>0</v>
      </c>
      <c r="Q30" s="168">
        <f t="shared" si="16"/>
        <v>0</v>
      </c>
      <c r="R30" s="168">
        <f t="shared" si="16"/>
        <v>0</v>
      </c>
      <c r="S30" s="168">
        <f t="shared" si="16"/>
        <v>0</v>
      </c>
      <c r="T30" s="168">
        <f t="shared" si="16"/>
        <v>0</v>
      </c>
      <c r="U30" s="168">
        <f t="shared" si="16"/>
        <v>0</v>
      </c>
      <c r="V30" s="168">
        <f t="shared" si="16"/>
        <v>0</v>
      </c>
      <c r="W30" s="168">
        <f t="shared" si="16"/>
        <v>0</v>
      </c>
      <c r="X30" s="168">
        <f t="shared" si="16"/>
        <v>0.33333333333333331</v>
      </c>
      <c r="Y30" s="168">
        <f t="shared" si="16"/>
        <v>0</v>
      </c>
      <c r="Z30" s="168">
        <f t="shared" si="16"/>
        <v>0</v>
      </c>
      <c r="AA30" s="168">
        <f t="shared" si="16"/>
        <v>0</v>
      </c>
      <c r="AB30" s="167">
        <f t="shared" si="16"/>
        <v>0</v>
      </c>
    </row>
    <row r="31" spans="1:28" ht="15.6" x14ac:dyDescent="0.3">
      <c r="B31" s="111" t="str">
        <f>'Dashboard-1-AVALIAÇÃO INST.'!$A$32</f>
        <v>NÃO SE APLICA / NÃO SEI</v>
      </c>
      <c r="C31" s="172">
        <f>C25</f>
        <v>0</v>
      </c>
      <c r="D31" s="173">
        <f t="shared" ref="D31:AB31" si="17">D25</f>
        <v>0</v>
      </c>
      <c r="E31" s="173">
        <f t="shared" si="17"/>
        <v>0</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v>
      </c>
      <c r="P31" s="173">
        <f t="shared" si="17"/>
        <v>0</v>
      </c>
      <c r="Q31" s="173">
        <f t="shared" si="17"/>
        <v>0</v>
      </c>
      <c r="R31" s="173">
        <f t="shared" si="17"/>
        <v>0</v>
      </c>
      <c r="S31" s="173">
        <f t="shared" si="17"/>
        <v>0</v>
      </c>
      <c r="T31" s="173">
        <f t="shared" si="17"/>
        <v>0</v>
      </c>
      <c r="U31" s="173">
        <f t="shared" si="17"/>
        <v>0</v>
      </c>
      <c r="V31" s="173">
        <f t="shared" si="17"/>
        <v>0</v>
      </c>
      <c r="W31" s="173">
        <f t="shared" si="17"/>
        <v>0</v>
      </c>
      <c r="X31" s="173">
        <f t="shared" si="17"/>
        <v>0</v>
      </c>
      <c r="Y31" s="173">
        <f t="shared" si="17"/>
        <v>0</v>
      </c>
      <c r="Z31" s="173">
        <f t="shared" si="17"/>
        <v>0</v>
      </c>
      <c r="AA31" s="173">
        <f t="shared" si="17"/>
        <v>0</v>
      </c>
      <c r="AB31" s="174">
        <f t="shared" si="17"/>
        <v>0.66666666666666663</v>
      </c>
    </row>
    <row r="32" spans="1:28" x14ac:dyDescent="0.25">
      <c r="A32" s="5" t="s">
        <v>211</v>
      </c>
      <c r="B32" s="91"/>
      <c r="C32" s="165">
        <f>SUM(C28:C31)</f>
        <v>1</v>
      </c>
      <c r="D32" s="165">
        <f t="shared" ref="D32" si="18">SUM(D28:D31)</f>
        <v>1</v>
      </c>
      <c r="E32" s="165">
        <f t="shared" ref="E32" si="19">SUM(E28:E31)</f>
        <v>1</v>
      </c>
      <c r="F32" s="165">
        <f t="shared" ref="F32" si="20">SUM(F28:F31)</f>
        <v>1</v>
      </c>
      <c r="G32" s="165">
        <f t="shared" ref="G32" si="21">SUM(G28:G31)</f>
        <v>1</v>
      </c>
      <c r="H32" s="165">
        <f t="shared" ref="H32" si="22">SUM(H28:H31)</f>
        <v>0</v>
      </c>
      <c r="I32" s="165">
        <f t="shared" ref="I32" si="23">SUM(I28:I31)</f>
        <v>1</v>
      </c>
      <c r="J32" s="165">
        <f t="shared" ref="J32" si="24">SUM(J28:J31)</f>
        <v>1</v>
      </c>
      <c r="K32" s="165">
        <f t="shared" ref="K32" si="25">SUM(K28:K31)</f>
        <v>1</v>
      </c>
      <c r="L32" s="165">
        <f t="shared" ref="L32" si="26">SUM(L28:L31)</f>
        <v>1</v>
      </c>
      <c r="M32" s="165">
        <f t="shared" ref="M32" si="27">SUM(M28:M31)</f>
        <v>1</v>
      </c>
      <c r="N32" s="165">
        <f t="shared" ref="N32" si="28">SUM(N28:N31)</f>
        <v>1</v>
      </c>
      <c r="O32" s="165">
        <f t="shared" ref="O32" si="29">SUM(O28:O31)</f>
        <v>1</v>
      </c>
      <c r="P32" s="165">
        <f t="shared" ref="P32" si="30">SUM(P28:P31)</f>
        <v>1</v>
      </c>
      <c r="Q32" s="165">
        <f t="shared" ref="Q32" si="31">SUM(Q28:Q31)</f>
        <v>1</v>
      </c>
      <c r="R32" s="165">
        <f t="shared" ref="R32" si="32">SUM(R28:R31)</f>
        <v>1</v>
      </c>
      <c r="S32" s="165">
        <f t="shared" ref="S32" si="33">SUM(S28:S31)</f>
        <v>1</v>
      </c>
      <c r="T32" s="165">
        <f t="shared" ref="T32" si="34">SUM(T28:T31)</f>
        <v>0</v>
      </c>
      <c r="U32" s="165">
        <f t="shared" ref="U32" si="35">SUM(U28:U31)</f>
        <v>1</v>
      </c>
      <c r="V32" s="165">
        <f t="shared" ref="V32" si="36">SUM(V28:V31)</f>
        <v>1</v>
      </c>
      <c r="W32" s="165">
        <f t="shared" ref="W32" si="37">SUM(W28:W31)</f>
        <v>1</v>
      </c>
      <c r="X32" s="165">
        <f t="shared" ref="X32" si="38">SUM(X28:X31)</f>
        <v>1</v>
      </c>
      <c r="Y32" s="165">
        <f t="shared" ref="Y32" si="39">SUM(Y28:Y31)</f>
        <v>1</v>
      </c>
      <c r="Z32" s="165">
        <f t="shared" ref="Z32" si="40">SUM(Z28:Z31)</f>
        <v>1</v>
      </c>
      <c r="AA32" s="165">
        <f t="shared" ref="AA32" si="41">SUM(AA28:AA31)</f>
        <v>1</v>
      </c>
      <c r="AB32" s="165">
        <f t="shared" ref="AB32" si="42">SUM(AB28:AB31)</f>
        <v>1</v>
      </c>
    </row>
    <row r="33" spans="1:2" x14ac:dyDescent="0.25">
      <c r="A33" s="6">
        <f>COUNT(C2:C7)</f>
        <v>3</v>
      </c>
    </row>
    <row r="35" spans="1:2" x14ac:dyDescent="0.25">
      <c r="A35" s="55" t="s">
        <v>30</v>
      </c>
      <c r="B35" s="55">
        <f>COUNTIF(B$2:B$19,"DISCENTE")</f>
        <v>3</v>
      </c>
    </row>
    <row r="36" spans="1:2" x14ac:dyDescent="0.25">
      <c r="A36" s="55" t="s">
        <v>29</v>
      </c>
      <c r="B36" s="55">
        <f>COUNTIF(B$2:B$19,"DOCENTE")</f>
        <v>0</v>
      </c>
    </row>
    <row r="37" spans="1:2" ht="13.8" x14ac:dyDescent="0.25">
      <c r="B37" s="56" t="str">
        <f>IF(B35+B36=A33,"Verificado","Erro")</f>
        <v>Verificado</v>
      </c>
    </row>
  </sheetData>
  <sheetProtection algorithmName="SHA-512" hashValue="v63pbTxGyaC0kAALJL28ZRSgjyna5QgatLaKBl48RWNXVxdi8iVOxwV9tltAA8oWPxC9Vsxq9s7loy4FVT/l9A==" saltValue="ncyI+xrHYMt7NDaFS+KXPQ==" spinCount="100000" sheet="1" objects="1" scenarios="1"/>
  <conditionalFormatting sqref="C20:G25 I20:S25 U20:AB25">
    <cfRule type="colorScale" priority="5">
      <colorScale>
        <cfvo type="min"/>
        <cfvo type="max"/>
        <color rgb="FFFCFCFF"/>
        <color rgb="FF63BE7B"/>
      </colorScale>
    </cfRule>
  </conditionalFormatting>
  <conditionalFormatting sqref="C26:G26">
    <cfRule type="iconSet" priority="10">
      <iconSet iconSet="3Flags">
        <cfvo type="percent" val="0"/>
        <cfvo type="percent" val="33"/>
        <cfvo type="percent" val="67"/>
      </iconSet>
    </cfRule>
    <cfRule type="containsText" dxfId="5" priority="11" operator="containsText" text="Conferido!">
      <formula>NOT(ISERROR(SEARCH("Conferido!",C26)))</formula>
    </cfRule>
  </conditionalFormatting>
  <conditionalFormatting sqref="C20:AB24 T26:T27 C25:G25 I25:AB25 H25:H27">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4"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3" priority="7" operator="containsText" text="Conferido!">
      <formula>NOT(ISERROR(SEARCH("Conferido!",U26)))</formula>
    </cfRule>
  </conditionalFormatting>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C482E-C8A4-444E-B242-E69411C8B176}">
  <sheetPr codeName="Planilha17"/>
  <dimension ref="A1:AC37"/>
  <sheetViews>
    <sheetView zoomScale="60" zoomScaleNormal="60" workbookViewId="0">
      <pane ySplit="1" topLeftCell="A2" activePane="bottomLeft" state="frozen"/>
      <selection activeCell="AN69" sqref="AN69"/>
      <selection pane="bottomLeft" activeCell="F35" sqref="F35"/>
    </sheetView>
  </sheetViews>
  <sheetFormatPr defaultColWidth="8.77734375" defaultRowHeight="13.2" x14ac:dyDescent="0.25"/>
  <cols>
    <col min="1" max="1" width="19" bestFit="1" customWidth="1"/>
    <col min="2" max="2" width="54.21875" bestFit="1" customWidth="1"/>
    <col min="8" max="8" width="0" style="143" hidden="1" customWidth="1"/>
    <col min="9" max="19" width="9"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42"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44276.450260046295</v>
      </c>
      <c r="B2" s="1" t="s">
        <v>30</v>
      </c>
      <c r="C2" s="1">
        <v>5</v>
      </c>
      <c r="D2" s="1">
        <v>5</v>
      </c>
      <c r="E2" s="1">
        <v>2</v>
      </c>
      <c r="F2" s="1">
        <v>4</v>
      </c>
      <c r="G2" s="1">
        <v>5</v>
      </c>
      <c r="H2" s="142" t="s">
        <v>50</v>
      </c>
      <c r="I2" s="1">
        <v>5</v>
      </c>
      <c r="J2" s="1">
        <v>5</v>
      </c>
      <c r="K2" s="1">
        <v>5</v>
      </c>
      <c r="L2" s="1">
        <v>5</v>
      </c>
      <c r="M2" s="1">
        <v>5</v>
      </c>
      <c r="N2" s="1">
        <v>5</v>
      </c>
      <c r="O2" s="1">
        <v>5</v>
      </c>
      <c r="P2" s="1">
        <v>5</v>
      </c>
      <c r="Q2" s="1">
        <v>5</v>
      </c>
      <c r="R2" s="1">
        <v>4</v>
      </c>
      <c r="S2" s="1">
        <v>5</v>
      </c>
      <c r="U2" s="1">
        <v>4</v>
      </c>
      <c r="V2" s="1">
        <v>5</v>
      </c>
      <c r="W2" s="1">
        <v>3</v>
      </c>
      <c r="X2" s="1">
        <v>4</v>
      </c>
      <c r="Y2" s="1">
        <v>4</v>
      </c>
      <c r="Z2" s="1">
        <v>3</v>
      </c>
      <c r="AA2" s="1">
        <v>5</v>
      </c>
      <c r="AB2" s="1">
        <v>3</v>
      </c>
    </row>
    <row r="3" spans="1:29" x14ac:dyDescent="0.25">
      <c r="A3" s="2">
        <v>44276.478527488427</v>
      </c>
      <c r="B3" s="1" t="s">
        <v>30</v>
      </c>
      <c r="C3" s="1">
        <v>5</v>
      </c>
      <c r="D3" s="1">
        <v>5</v>
      </c>
      <c r="E3" s="1">
        <v>4</v>
      </c>
      <c r="F3" s="1">
        <v>5</v>
      </c>
      <c r="G3" s="1">
        <v>5</v>
      </c>
      <c r="I3" s="1">
        <v>5</v>
      </c>
      <c r="J3" s="1">
        <v>5</v>
      </c>
      <c r="K3" s="1">
        <v>5</v>
      </c>
      <c r="L3" s="1">
        <v>5</v>
      </c>
      <c r="M3" s="1">
        <v>5</v>
      </c>
      <c r="N3" s="1">
        <v>5</v>
      </c>
      <c r="O3" s="1">
        <v>5</v>
      </c>
      <c r="P3" s="1">
        <v>5</v>
      </c>
      <c r="Q3" s="1">
        <v>5</v>
      </c>
      <c r="R3" s="1">
        <v>5</v>
      </c>
      <c r="S3" s="1">
        <v>5</v>
      </c>
      <c r="U3" s="1">
        <v>4</v>
      </c>
      <c r="V3" s="1">
        <v>5</v>
      </c>
      <c r="W3" s="1">
        <v>5</v>
      </c>
      <c r="X3" s="1">
        <v>4</v>
      </c>
      <c r="Y3" s="1">
        <v>3</v>
      </c>
      <c r="Z3" s="1">
        <v>4</v>
      </c>
      <c r="AA3" s="1">
        <v>5</v>
      </c>
      <c r="AB3" s="1">
        <v>3</v>
      </c>
    </row>
    <row r="4" spans="1:29" x14ac:dyDescent="0.25">
      <c r="A4" s="2">
        <v>44287.659146585647</v>
      </c>
      <c r="B4" s="1" t="s">
        <v>30</v>
      </c>
      <c r="C4" s="1">
        <v>5</v>
      </c>
      <c r="D4" s="1">
        <v>5</v>
      </c>
      <c r="E4" s="1">
        <v>5</v>
      </c>
      <c r="F4" s="1">
        <v>5</v>
      </c>
      <c r="G4" s="1">
        <v>5</v>
      </c>
      <c r="I4" s="1">
        <v>5</v>
      </c>
      <c r="J4" s="1">
        <v>5</v>
      </c>
      <c r="K4" s="1">
        <v>5</v>
      </c>
      <c r="L4" s="1">
        <v>5</v>
      </c>
      <c r="M4" s="1">
        <v>5</v>
      </c>
      <c r="N4" s="1">
        <v>5</v>
      </c>
      <c r="O4" s="1">
        <v>5</v>
      </c>
      <c r="P4" s="1">
        <v>5</v>
      </c>
      <c r="Q4" s="1">
        <v>5</v>
      </c>
      <c r="R4" s="1">
        <v>5</v>
      </c>
      <c r="S4" s="1">
        <v>5</v>
      </c>
      <c r="U4" s="1">
        <v>5</v>
      </c>
      <c r="V4" s="1">
        <v>5</v>
      </c>
      <c r="W4" s="1">
        <v>5</v>
      </c>
      <c r="X4" s="1">
        <v>1</v>
      </c>
      <c r="Y4" s="1">
        <v>5</v>
      </c>
      <c r="Z4" s="1">
        <v>5</v>
      </c>
      <c r="AA4" s="1">
        <v>5</v>
      </c>
      <c r="AB4" s="1">
        <v>0</v>
      </c>
    </row>
    <row r="5" spans="1:29" x14ac:dyDescent="0.25">
      <c r="A5" s="2">
        <v>44287.682220983799</v>
      </c>
      <c r="B5" s="1" t="s">
        <v>29</v>
      </c>
      <c r="C5" s="1">
        <v>4</v>
      </c>
      <c r="D5" s="1">
        <v>5</v>
      </c>
      <c r="E5" s="1">
        <v>4</v>
      </c>
      <c r="F5" s="1">
        <v>5</v>
      </c>
      <c r="G5" s="1">
        <v>5</v>
      </c>
      <c r="I5" s="1">
        <v>5</v>
      </c>
      <c r="J5" s="1">
        <v>5</v>
      </c>
      <c r="K5" s="1">
        <v>5</v>
      </c>
      <c r="L5" s="1">
        <v>5</v>
      </c>
      <c r="M5" s="1">
        <v>5</v>
      </c>
      <c r="N5" s="1">
        <v>5</v>
      </c>
      <c r="O5" s="1">
        <v>5</v>
      </c>
      <c r="P5" s="1">
        <v>4</v>
      </c>
      <c r="Q5" s="1">
        <v>5</v>
      </c>
      <c r="R5" s="1">
        <v>5</v>
      </c>
      <c r="S5" s="1">
        <v>4</v>
      </c>
      <c r="U5" s="1">
        <v>0</v>
      </c>
      <c r="V5" s="1">
        <v>0</v>
      </c>
      <c r="W5" s="1">
        <v>0</v>
      </c>
      <c r="X5" s="1">
        <v>0</v>
      </c>
      <c r="Y5" s="1">
        <v>0</v>
      </c>
      <c r="Z5" s="1">
        <v>0</v>
      </c>
      <c r="AA5" s="1">
        <v>0</v>
      </c>
      <c r="AB5" s="1">
        <v>0</v>
      </c>
    </row>
    <row r="6" spans="1:29" x14ac:dyDescent="0.25">
      <c r="A6" s="2">
        <v>44287.733742083336</v>
      </c>
      <c r="B6" s="1" t="s">
        <v>30</v>
      </c>
      <c r="C6" s="1">
        <v>5</v>
      </c>
      <c r="D6" s="1">
        <v>5</v>
      </c>
      <c r="E6" s="1">
        <v>5</v>
      </c>
      <c r="F6" s="1">
        <v>5</v>
      </c>
      <c r="G6" s="1">
        <v>5</v>
      </c>
      <c r="I6" s="1">
        <v>5</v>
      </c>
      <c r="J6" s="1">
        <v>5</v>
      </c>
      <c r="K6" s="1">
        <v>5</v>
      </c>
      <c r="L6" s="1">
        <v>5</v>
      </c>
      <c r="M6" s="1">
        <v>5</v>
      </c>
      <c r="N6" s="1">
        <v>5</v>
      </c>
      <c r="O6" s="1">
        <v>5</v>
      </c>
      <c r="P6" s="1">
        <v>5</v>
      </c>
      <c r="Q6" s="1">
        <v>5</v>
      </c>
      <c r="R6" s="1">
        <v>5</v>
      </c>
      <c r="S6" s="1">
        <v>5</v>
      </c>
      <c r="U6" s="1">
        <v>5</v>
      </c>
      <c r="V6" s="1">
        <v>5</v>
      </c>
      <c r="W6" s="1">
        <v>5</v>
      </c>
      <c r="X6" s="1">
        <v>3</v>
      </c>
      <c r="Y6" s="1">
        <v>3</v>
      </c>
      <c r="Z6" s="1">
        <v>3</v>
      </c>
      <c r="AA6" s="1">
        <v>5</v>
      </c>
      <c r="AB6" s="1">
        <v>1</v>
      </c>
    </row>
    <row r="7" spans="1:29" x14ac:dyDescent="0.25">
      <c r="A7" s="2">
        <v>44287.777432037037</v>
      </c>
      <c r="B7" s="1" t="s">
        <v>30</v>
      </c>
      <c r="C7" s="1">
        <v>5</v>
      </c>
      <c r="D7" s="1">
        <v>5</v>
      </c>
      <c r="E7" s="1">
        <v>0</v>
      </c>
      <c r="F7" s="1">
        <v>5</v>
      </c>
      <c r="G7" s="1">
        <v>5</v>
      </c>
      <c r="H7" s="142" t="s">
        <v>51</v>
      </c>
      <c r="I7" s="1">
        <v>5</v>
      </c>
      <c r="J7" s="1">
        <v>5</v>
      </c>
      <c r="K7" s="1">
        <v>5</v>
      </c>
      <c r="L7" s="1">
        <v>5</v>
      </c>
      <c r="M7" s="1">
        <v>5</v>
      </c>
      <c r="N7" s="1">
        <v>5</v>
      </c>
      <c r="O7" s="1">
        <v>5</v>
      </c>
      <c r="P7" s="1">
        <v>5</v>
      </c>
      <c r="Q7" s="1">
        <v>5</v>
      </c>
      <c r="R7" s="1">
        <v>5</v>
      </c>
      <c r="S7" s="1">
        <v>3</v>
      </c>
      <c r="U7" s="1">
        <v>4</v>
      </c>
      <c r="V7" s="1">
        <v>5</v>
      </c>
      <c r="W7" s="1">
        <v>5</v>
      </c>
      <c r="X7" s="1">
        <v>4</v>
      </c>
      <c r="Y7" s="1">
        <v>5</v>
      </c>
      <c r="Z7" s="1">
        <v>4</v>
      </c>
      <c r="AA7" s="1">
        <v>0</v>
      </c>
      <c r="AB7" s="1">
        <v>4</v>
      </c>
    </row>
    <row r="8" spans="1:29" x14ac:dyDescent="0.25">
      <c r="A8" s="2">
        <v>44288.188344062495</v>
      </c>
      <c r="B8" s="1" t="s">
        <v>30</v>
      </c>
      <c r="C8" s="1">
        <v>4</v>
      </c>
      <c r="D8" s="1">
        <v>3</v>
      </c>
      <c r="E8" s="1">
        <v>1</v>
      </c>
      <c r="F8" s="1">
        <v>3</v>
      </c>
      <c r="G8" s="1">
        <v>4</v>
      </c>
      <c r="H8" s="142" t="s">
        <v>52</v>
      </c>
      <c r="I8" s="1">
        <v>3</v>
      </c>
      <c r="J8" s="1">
        <v>3</v>
      </c>
      <c r="K8" s="1">
        <v>4</v>
      </c>
      <c r="L8" s="1">
        <v>4</v>
      </c>
      <c r="M8" s="1">
        <v>2</v>
      </c>
      <c r="N8" s="1">
        <v>5</v>
      </c>
      <c r="O8" s="1">
        <v>5</v>
      </c>
      <c r="P8" s="1">
        <v>1</v>
      </c>
      <c r="Q8" s="1">
        <v>1</v>
      </c>
      <c r="R8" s="1">
        <v>4</v>
      </c>
      <c r="S8" s="1">
        <v>1</v>
      </c>
      <c r="T8" s="1" t="s">
        <v>53</v>
      </c>
      <c r="U8" s="1">
        <v>4</v>
      </c>
      <c r="V8" s="1">
        <v>5</v>
      </c>
      <c r="W8" s="1">
        <v>3</v>
      </c>
      <c r="X8" s="1">
        <v>2</v>
      </c>
      <c r="Y8" s="1">
        <v>3</v>
      </c>
      <c r="Z8" s="1">
        <v>4</v>
      </c>
      <c r="AA8" s="1">
        <v>5</v>
      </c>
      <c r="AB8" s="1">
        <v>4</v>
      </c>
      <c r="AC8" s="1" t="s">
        <v>54</v>
      </c>
    </row>
    <row r="9" spans="1:29" x14ac:dyDescent="0.25">
      <c r="A9" s="2">
        <v>44288.345540613431</v>
      </c>
      <c r="B9" s="1" t="s">
        <v>30</v>
      </c>
      <c r="C9" s="1">
        <v>5</v>
      </c>
      <c r="D9" s="1">
        <v>5</v>
      </c>
      <c r="E9" s="1">
        <v>4</v>
      </c>
      <c r="F9" s="1">
        <v>5</v>
      </c>
      <c r="G9" s="1">
        <v>5</v>
      </c>
      <c r="I9" s="1">
        <v>5</v>
      </c>
      <c r="J9" s="1">
        <v>5</v>
      </c>
      <c r="K9" s="1">
        <v>5</v>
      </c>
      <c r="L9" s="1">
        <v>5</v>
      </c>
      <c r="M9" s="1">
        <v>5</v>
      </c>
      <c r="N9" s="1">
        <v>5</v>
      </c>
      <c r="O9" s="1">
        <v>5</v>
      </c>
      <c r="P9" s="1">
        <v>5</v>
      </c>
      <c r="Q9" s="1">
        <v>5</v>
      </c>
      <c r="R9" s="1">
        <v>5</v>
      </c>
      <c r="S9" s="1">
        <v>5</v>
      </c>
      <c r="U9" s="1">
        <v>4</v>
      </c>
      <c r="V9" s="1">
        <v>5</v>
      </c>
      <c r="W9" s="1">
        <v>5</v>
      </c>
      <c r="X9" s="1">
        <v>4</v>
      </c>
      <c r="Y9" s="1">
        <v>4</v>
      </c>
      <c r="Z9" s="1">
        <v>5</v>
      </c>
      <c r="AA9" s="1">
        <v>5</v>
      </c>
      <c r="AB9" s="1">
        <v>5</v>
      </c>
    </row>
    <row r="10" spans="1:29" x14ac:dyDescent="0.25">
      <c r="A10" s="2">
        <v>44288.375357500001</v>
      </c>
      <c r="B10" s="1" t="s">
        <v>30</v>
      </c>
      <c r="C10" s="1">
        <v>5</v>
      </c>
      <c r="D10" s="1">
        <v>5</v>
      </c>
      <c r="E10" s="1">
        <v>4</v>
      </c>
      <c r="F10" s="1">
        <v>5</v>
      </c>
      <c r="G10" s="1">
        <v>5</v>
      </c>
      <c r="I10" s="1">
        <v>5</v>
      </c>
      <c r="J10" s="1">
        <v>5</v>
      </c>
      <c r="K10" s="1">
        <v>5</v>
      </c>
      <c r="L10" s="1">
        <v>5</v>
      </c>
      <c r="M10" s="1">
        <v>5</v>
      </c>
      <c r="N10" s="1">
        <v>5</v>
      </c>
      <c r="O10" s="1">
        <v>5</v>
      </c>
      <c r="P10" s="1">
        <v>5</v>
      </c>
      <c r="Q10" s="1">
        <v>5</v>
      </c>
      <c r="R10" s="1">
        <v>5</v>
      </c>
      <c r="S10" s="1">
        <v>5</v>
      </c>
      <c r="U10" s="1">
        <v>3</v>
      </c>
      <c r="V10" s="1">
        <v>4</v>
      </c>
      <c r="W10" s="1">
        <v>5</v>
      </c>
      <c r="X10" s="1">
        <v>3</v>
      </c>
      <c r="Y10" s="1">
        <v>4</v>
      </c>
      <c r="Z10" s="1">
        <v>2</v>
      </c>
      <c r="AA10" s="1">
        <v>5</v>
      </c>
      <c r="AB10" s="1">
        <v>3</v>
      </c>
      <c r="AC10" s="1" t="s">
        <v>55</v>
      </c>
    </row>
    <row r="11" spans="1:29" x14ac:dyDescent="0.25">
      <c r="A11" s="2">
        <v>44288.528128206017</v>
      </c>
      <c r="B11" s="1" t="s">
        <v>30</v>
      </c>
      <c r="C11" s="1">
        <v>4</v>
      </c>
      <c r="D11" s="1">
        <v>5</v>
      </c>
      <c r="E11" s="1">
        <v>4</v>
      </c>
      <c r="F11" s="1">
        <v>5</v>
      </c>
      <c r="G11" s="1">
        <v>5</v>
      </c>
      <c r="H11" s="144" t="s">
        <v>308</v>
      </c>
      <c r="I11" s="1">
        <v>5</v>
      </c>
      <c r="J11" s="1">
        <v>5</v>
      </c>
      <c r="K11" s="1">
        <v>5</v>
      </c>
      <c r="L11" s="1">
        <v>5</v>
      </c>
      <c r="M11" s="1">
        <v>5</v>
      </c>
      <c r="N11" s="1">
        <v>5</v>
      </c>
      <c r="O11" s="1">
        <v>5</v>
      </c>
      <c r="P11" s="1">
        <v>4</v>
      </c>
      <c r="Q11" s="1">
        <v>5</v>
      </c>
      <c r="R11" s="1">
        <v>5</v>
      </c>
      <c r="S11" s="1">
        <v>5</v>
      </c>
      <c r="U11" s="1">
        <v>3</v>
      </c>
      <c r="V11" s="1">
        <v>4</v>
      </c>
      <c r="W11" s="1">
        <v>4</v>
      </c>
      <c r="X11" s="1">
        <v>5</v>
      </c>
      <c r="Y11" s="1">
        <v>3</v>
      </c>
      <c r="Z11" s="1">
        <v>4</v>
      </c>
      <c r="AA11" s="1">
        <v>5</v>
      </c>
      <c r="AB11" s="1">
        <v>3</v>
      </c>
    </row>
    <row r="12" spans="1:29" x14ac:dyDescent="0.25">
      <c r="A12" s="2">
        <v>44288.725710335653</v>
      </c>
      <c r="B12" s="1" t="s">
        <v>30</v>
      </c>
      <c r="C12" s="1">
        <v>4</v>
      </c>
      <c r="D12" s="1">
        <v>4</v>
      </c>
      <c r="E12" s="1">
        <v>5</v>
      </c>
      <c r="F12" s="1">
        <v>4</v>
      </c>
      <c r="G12" s="1">
        <v>5</v>
      </c>
      <c r="I12" s="1">
        <v>5</v>
      </c>
      <c r="J12" s="1">
        <v>5</v>
      </c>
      <c r="K12" s="1">
        <v>5</v>
      </c>
      <c r="L12" s="1">
        <v>5</v>
      </c>
      <c r="M12" s="1">
        <v>5</v>
      </c>
      <c r="N12" s="1">
        <v>5</v>
      </c>
      <c r="O12" s="1">
        <v>5</v>
      </c>
      <c r="P12" s="1">
        <v>5</v>
      </c>
      <c r="Q12" s="1">
        <v>5</v>
      </c>
      <c r="R12" s="1">
        <v>5</v>
      </c>
      <c r="S12" s="1">
        <v>5</v>
      </c>
      <c r="U12" s="1">
        <v>4</v>
      </c>
      <c r="V12" s="1">
        <v>5</v>
      </c>
      <c r="W12" s="1">
        <v>4</v>
      </c>
      <c r="X12" s="1">
        <v>5</v>
      </c>
      <c r="Y12" s="1">
        <v>4</v>
      </c>
      <c r="Z12" s="1">
        <v>4</v>
      </c>
      <c r="AA12" s="1">
        <v>4</v>
      </c>
      <c r="AB12" s="1">
        <v>4</v>
      </c>
    </row>
    <row r="13" spans="1:29" x14ac:dyDescent="0.25">
      <c r="A13" s="2">
        <v>44289.440124247689</v>
      </c>
      <c r="B13" s="1" t="s">
        <v>30</v>
      </c>
      <c r="C13" s="1">
        <v>4</v>
      </c>
      <c r="D13" s="1">
        <v>5</v>
      </c>
      <c r="E13" s="1">
        <v>3</v>
      </c>
      <c r="F13" s="1">
        <v>5</v>
      </c>
      <c r="G13" s="1">
        <v>5</v>
      </c>
      <c r="I13" s="1">
        <v>5</v>
      </c>
      <c r="J13" s="1">
        <v>5</v>
      </c>
      <c r="K13" s="1">
        <v>5</v>
      </c>
      <c r="L13" s="1">
        <v>5</v>
      </c>
      <c r="M13" s="1">
        <v>5</v>
      </c>
      <c r="N13" s="1">
        <v>5</v>
      </c>
      <c r="O13" s="1">
        <v>5</v>
      </c>
      <c r="P13" s="1">
        <v>3</v>
      </c>
      <c r="Q13" s="1">
        <v>4</v>
      </c>
      <c r="R13" s="1">
        <v>4</v>
      </c>
      <c r="S13" s="1">
        <v>2</v>
      </c>
      <c r="U13" s="1">
        <v>5</v>
      </c>
      <c r="V13" s="1">
        <v>4</v>
      </c>
      <c r="W13" s="1">
        <v>5</v>
      </c>
      <c r="X13" s="1">
        <v>3</v>
      </c>
      <c r="Y13" s="1">
        <v>5</v>
      </c>
      <c r="Z13" s="1">
        <v>4</v>
      </c>
      <c r="AA13" s="1">
        <v>5</v>
      </c>
      <c r="AB13" s="1">
        <v>5</v>
      </c>
    </row>
    <row r="14" spans="1:29" x14ac:dyDescent="0.25">
      <c r="A14" s="2">
        <v>44289.532445092591</v>
      </c>
      <c r="B14" s="1" t="s">
        <v>30</v>
      </c>
      <c r="C14" s="1">
        <v>5</v>
      </c>
      <c r="D14" s="1">
        <v>5</v>
      </c>
      <c r="E14" s="1">
        <v>3</v>
      </c>
      <c r="F14" s="1">
        <v>4</v>
      </c>
      <c r="G14" s="1">
        <v>5</v>
      </c>
      <c r="I14" s="1">
        <v>5</v>
      </c>
      <c r="J14" s="1">
        <v>5</v>
      </c>
      <c r="K14" s="1">
        <v>5</v>
      </c>
      <c r="L14" s="1">
        <v>5</v>
      </c>
      <c r="M14" s="1">
        <v>5</v>
      </c>
      <c r="N14" s="1">
        <v>5</v>
      </c>
      <c r="O14" s="1">
        <v>5</v>
      </c>
      <c r="P14" s="1">
        <v>5</v>
      </c>
      <c r="Q14" s="1">
        <v>5</v>
      </c>
      <c r="R14" s="1">
        <v>5</v>
      </c>
      <c r="S14" s="1">
        <v>5</v>
      </c>
      <c r="T14" s="1" t="s">
        <v>56</v>
      </c>
      <c r="U14" s="1">
        <v>3</v>
      </c>
      <c r="V14" s="1">
        <v>5</v>
      </c>
      <c r="W14" s="1">
        <v>3</v>
      </c>
      <c r="X14" s="1">
        <v>4</v>
      </c>
      <c r="Y14" s="1">
        <v>5</v>
      </c>
      <c r="Z14" s="1">
        <v>4</v>
      </c>
      <c r="AA14" s="1">
        <v>5</v>
      </c>
      <c r="AB14" s="1">
        <v>3</v>
      </c>
      <c r="AC14" s="1" t="s">
        <v>57</v>
      </c>
    </row>
    <row r="15" spans="1:29" x14ac:dyDescent="0.25">
      <c r="A15" s="2">
        <v>44290.678818993052</v>
      </c>
      <c r="B15" s="1" t="s">
        <v>30</v>
      </c>
      <c r="C15" s="1">
        <v>5</v>
      </c>
      <c r="D15" s="1">
        <v>0</v>
      </c>
      <c r="E15" s="1">
        <v>0</v>
      </c>
      <c r="F15" s="1">
        <v>4</v>
      </c>
      <c r="G15" s="1">
        <v>4</v>
      </c>
      <c r="I15" s="1">
        <v>0</v>
      </c>
      <c r="J15" s="1">
        <v>5</v>
      </c>
      <c r="K15" s="1">
        <v>5</v>
      </c>
      <c r="L15" s="1">
        <v>5</v>
      </c>
      <c r="M15" s="1">
        <v>5</v>
      </c>
      <c r="N15" s="1">
        <v>5</v>
      </c>
      <c r="O15" s="1">
        <v>5</v>
      </c>
      <c r="P15" s="1">
        <v>4</v>
      </c>
      <c r="Q15" s="1">
        <v>5</v>
      </c>
      <c r="R15" s="1">
        <v>4</v>
      </c>
      <c r="S15" s="1">
        <v>4</v>
      </c>
      <c r="U15" s="1">
        <v>1</v>
      </c>
      <c r="V15" s="1">
        <v>4</v>
      </c>
      <c r="W15" s="1">
        <v>4</v>
      </c>
      <c r="X15" s="1">
        <v>3</v>
      </c>
      <c r="Y15" s="1">
        <v>4</v>
      </c>
      <c r="Z15" s="1">
        <v>1</v>
      </c>
      <c r="AA15" s="1">
        <v>0</v>
      </c>
      <c r="AB15" s="1">
        <v>0</v>
      </c>
    </row>
    <row r="16" spans="1:29" x14ac:dyDescent="0.25">
      <c r="A16" s="2">
        <v>44291.399154108796</v>
      </c>
      <c r="B16" s="1" t="s">
        <v>29</v>
      </c>
      <c r="C16" s="1">
        <v>5</v>
      </c>
      <c r="D16" s="1">
        <v>5</v>
      </c>
      <c r="E16" s="1">
        <v>4</v>
      </c>
      <c r="F16" s="1">
        <v>5</v>
      </c>
      <c r="G16" s="1">
        <v>5</v>
      </c>
      <c r="I16" s="1">
        <v>5</v>
      </c>
      <c r="J16" s="1">
        <v>5</v>
      </c>
      <c r="K16" s="1">
        <v>5</v>
      </c>
      <c r="L16" s="1">
        <v>5</v>
      </c>
      <c r="M16" s="1">
        <v>5</v>
      </c>
      <c r="N16" s="1">
        <v>5</v>
      </c>
      <c r="O16" s="1">
        <v>5</v>
      </c>
      <c r="P16" s="1">
        <v>5</v>
      </c>
      <c r="Q16" s="1">
        <v>5</v>
      </c>
      <c r="R16" s="1">
        <v>5</v>
      </c>
      <c r="S16" s="1">
        <v>4</v>
      </c>
      <c r="U16" s="1">
        <v>0</v>
      </c>
      <c r="V16" s="1">
        <v>0</v>
      </c>
      <c r="W16" s="1">
        <v>0</v>
      </c>
      <c r="X16" s="1">
        <v>0</v>
      </c>
      <c r="Y16" s="1">
        <v>0</v>
      </c>
      <c r="Z16" s="1">
        <v>0</v>
      </c>
      <c r="AA16" s="1">
        <v>0</v>
      </c>
      <c r="AB16" s="1">
        <v>0</v>
      </c>
    </row>
    <row r="19" spans="1:28"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x14ac:dyDescent="0.25">
      <c r="B20" s="10" t="str">
        <f>'Dashboard-1-AVALIAÇÃO INST.'!$A$21</f>
        <v>5-ÓTIMO</v>
      </c>
      <c r="C20" s="7">
        <f>COUNTIFS(C$2:C$17,5)/$A$33</f>
        <v>0.66666666666666663</v>
      </c>
      <c r="D20" s="7">
        <f>COUNTIFS(D$2:D$17,5)/$A$33</f>
        <v>0.8</v>
      </c>
      <c r="E20" s="7">
        <f>COUNTIFS(E$2:E$17,5)/$A$33</f>
        <v>0.2</v>
      </c>
      <c r="F20" s="7">
        <f>COUNTIFS(F$2:F$17,5)/$A$33</f>
        <v>0.66666666666666663</v>
      </c>
      <c r="G20" s="7">
        <f>COUNTIFS(G$2:G$17,5)/$A$33</f>
        <v>0.8666666666666667</v>
      </c>
      <c r="I20" s="7">
        <f t="shared" ref="I20:S20" si="0">COUNTIFS(I$2:I$17,5)/$A$33</f>
        <v>0.8666666666666667</v>
      </c>
      <c r="J20" s="7">
        <f t="shared" si="0"/>
        <v>0.93333333333333335</v>
      </c>
      <c r="K20" s="7">
        <f t="shared" si="0"/>
        <v>0.93333333333333335</v>
      </c>
      <c r="L20" s="7">
        <f t="shared" si="0"/>
        <v>0.93333333333333335</v>
      </c>
      <c r="M20" s="7">
        <f t="shared" si="0"/>
        <v>0.93333333333333335</v>
      </c>
      <c r="N20" s="7">
        <f t="shared" si="0"/>
        <v>1</v>
      </c>
      <c r="O20" s="7">
        <f t="shared" si="0"/>
        <v>1</v>
      </c>
      <c r="P20" s="7">
        <f t="shared" si="0"/>
        <v>0.66666666666666663</v>
      </c>
      <c r="Q20" s="7">
        <f t="shared" si="0"/>
        <v>0.8666666666666667</v>
      </c>
      <c r="R20" s="7">
        <f t="shared" si="0"/>
        <v>0.73333333333333328</v>
      </c>
      <c r="S20" s="7">
        <f t="shared" si="0"/>
        <v>0.6</v>
      </c>
      <c r="U20" s="7">
        <f t="shared" ref="U20:AB20" si="1">COUNTIFS(U$2:U$17,5)/$A$33</f>
        <v>0.2</v>
      </c>
      <c r="V20" s="7">
        <f t="shared" si="1"/>
        <v>0.6</v>
      </c>
      <c r="W20" s="7">
        <f t="shared" si="1"/>
        <v>0.46666666666666667</v>
      </c>
      <c r="X20" s="7">
        <f t="shared" si="1"/>
        <v>0.13333333333333333</v>
      </c>
      <c r="Y20" s="7">
        <f t="shared" si="1"/>
        <v>0.26666666666666666</v>
      </c>
      <c r="Z20" s="7">
        <f t="shared" si="1"/>
        <v>0.13333333333333333</v>
      </c>
      <c r="AA20" s="7">
        <f t="shared" si="1"/>
        <v>0.66666666666666663</v>
      </c>
      <c r="AB20" s="7">
        <f t="shared" si="1"/>
        <v>0.13333333333333333</v>
      </c>
    </row>
    <row r="21" spans="1:28" x14ac:dyDescent="0.25">
      <c r="B21" s="10" t="str">
        <f>'Dashboard-1-AVALIAÇÃO INST.'!$A$22</f>
        <v>4-MUITO BOM</v>
      </c>
      <c r="C21" s="7">
        <f>COUNTIFS(C$2:C$17,4)/$A$33</f>
        <v>0.33333333333333331</v>
      </c>
      <c r="D21" s="7">
        <f>COUNTIFS(D$2:D$17,4)/$A$33</f>
        <v>6.6666666666666666E-2</v>
      </c>
      <c r="E21" s="7">
        <f>COUNTIFS(E$2:E$17,4)/$A$33</f>
        <v>0.4</v>
      </c>
      <c r="F21" s="7">
        <f>COUNTIFS(F$2:F$17,4)/$A$33</f>
        <v>0.26666666666666666</v>
      </c>
      <c r="G21" s="7">
        <f>COUNTIFS(G$2:G$17,4)/$A$33</f>
        <v>0.13333333333333333</v>
      </c>
      <c r="I21" s="7">
        <f t="shared" ref="I21:S21" si="2">COUNTIFS(I$2:I$17,4)/$A$33</f>
        <v>0</v>
      </c>
      <c r="J21" s="7">
        <f t="shared" si="2"/>
        <v>0</v>
      </c>
      <c r="K21" s="7">
        <f t="shared" si="2"/>
        <v>6.6666666666666666E-2</v>
      </c>
      <c r="L21" s="7">
        <f t="shared" si="2"/>
        <v>6.6666666666666666E-2</v>
      </c>
      <c r="M21" s="7">
        <f t="shared" si="2"/>
        <v>0</v>
      </c>
      <c r="N21" s="7">
        <f t="shared" si="2"/>
        <v>0</v>
      </c>
      <c r="O21" s="7">
        <f t="shared" si="2"/>
        <v>0</v>
      </c>
      <c r="P21" s="7">
        <f t="shared" si="2"/>
        <v>0.2</v>
      </c>
      <c r="Q21" s="7">
        <f t="shared" si="2"/>
        <v>6.6666666666666666E-2</v>
      </c>
      <c r="R21" s="7">
        <f t="shared" si="2"/>
        <v>0.26666666666666666</v>
      </c>
      <c r="S21" s="7">
        <f t="shared" si="2"/>
        <v>0.2</v>
      </c>
      <c r="U21" s="7">
        <f t="shared" ref="U21:AB21" si="3">COUNTIFS(U$2:U$17,4)/$A$33</f>
        <v>0.4</v>
      </c>
      <c r="V21" s="7">
        <f t="shared" si="3"/>
        <v>0.26666666666666666</v>
      </c>
      <c r="W21" s="7">
        <f t="shared" si="3"/>
        <v>0.2</v>
      </c>
      <c r="X21" s="7">
        <f t="shared" si="3"/>
        <v>0.33333333333333331</v>
      </c>
      <c r="Y21" s="7">
        <f t="shared" si="3"/>
        <v>0.33333333333333331</v>
      </c>
      <c r="Z21" s="7">
        <f t="shared" si="3"/>
        <v>0.46666666666666667</v>
      </c>
      <c r="AA21" s="7">
        <f t="shared" si="3"/>
        <v>6.6666666666666666E-2</v>
      </c>
      <c r="AB21" s="7">
        <f t="shared" si="3"/>
        <v>0.2</v>
      </c>
    </row>
    <row r="22" spans="1:28" x14ac:dyDescent="0.25">
      <c r="B22" s="10" t="str">
        <f>'Dashboard-1-AVALIAÇÃO INST.'!$A$23</f>
        <v>3-BOM</v>
      </c>
      <c r="C22" s="7">
        <f>COUNTIFS(C$2:C$17,3)/$A$33</f>
        <v>0</v>
      </c>
      <c r="D22" s="7">
        <f>COUNTIFS(D$2:D$17,3)/$A$33</f>
        <v>6.6666666666666666E-2</v>
      </c>
      <c r="E22" s="7">
        <f>COUNTIFS(E$2:E$17,3)/$A$33</f>
        <v>0.13333333333333333</v>
      </c>
      <c r="F22" s="7">
        <f>COUNTIFS(F$2:F$17,3)/$A$33</f>
        <v>6.6666666666666666E-2</v>
      </c>
      <c r="G22" s="7">
        <f>COUNTIFS(G$2:G$17,3)/$A$33</f>
        <v>0</v>
      </c>
      <c r="I22" s="7">
        <f t="shared" ref="I22:S22" si="4">COUNTIFS(I$2:I$17,3)/$A$33</f>
        <v>6.6666666666666666E-2</v>
      </c>
      <c r="J22" s="7">
        <f t="shared" si="4"/>
        <v>6.6666666666666666E-2</v>
      </c>
      <c r="K22" s="7">
        <f t="shared" si="4"/>
        <v>0</v>
      </c>
      <c r="L22" s="7">
        <f t="shared" si="4"/>
        <v>0</v>
      </c>
      <c r="M22" s="7">
        <f t="shared" si="4"/>
        <v>0</v>
      </c>
      <c r="N22" s="7">
        <f t="shared" si="4"/>
        <v>0</v>
      </c>
      <c r="O22" s="7">
        <f t="shared" si="4"/>
        <v>0</v>
      </c>
      <c r="P22" s="7">
        <f t="shared" si="4"/>
        <v>6.6666666666666666E-2</v>
      </c>
      <c r="Q22" s="7">
        <f t="shared" si="4"/>
        <v>0</v>
      </c>
      <c r="R22" s="7">
        <f t="shared" si="4"/>
        <v>0</v>
      </c>
      <c r="S22" s="7">
        <f t="shared" si="4"/>
        <v>6.6666666666666666E-2</v>
      </c>
      <c r="U22" s="7">
        <f t="shared" ref="U22:AB22" si="5">COUNTIFS(U$2:U$17,3)/$A$33</f>
        <v>0.2</v>
      </c>
      <c r="V22" s="7">
        <f t="shared" si="5"/>
        <v>0</v>
      </c>
      <c r="W22" s="7">
        <f t="shared" si="5"/>
        <v>0.2</v>
      </c>
      <c r="X22" s="7">
        <f t="shared" si="5"/>
        <v>0.26666666666666666</v>
      </c>
      <c r="Y22" s="7">
        <f t="shared" si="5"/>
        <v>0.26666666666666666</v>
      </c>
      <c r="Z22" s="7">
        <f t="shared" si="5"/>
        <v>0.13333333333333333</v>
      </c>
      <c r="AA22" s="7">
        <f t="shared" si="5"/>
        <v>0</v>
      </c>
      <c r="AB22" s="7">
        <f t="shared" si="5"/>
        <v>0.33333333333333331</v>
      </c>
    </row>
    <row r="23" spans="1:28" x14ac:dyDescent="0.25">
      <c r="B23" s="10" t="str">
        <f>'Dashboard-1-AVALIAÇÃO INST.'!$A$24</f>
        <v>2-REGULAR</v>
      </c>
      <c r="C23" s="7">
        <f>COUNTIFS(C$2:C$17,2)/$A$33</f>
        <v>0</v>
      </c>
      <c r="D23" s="7">
        <f>COUNTIFS(D$2:D$17,2)/$A$33</f>
        <v>0</v>
      </c>
      <c r="E23" s="7">
        <f>COUNTIFS(E$2:E$17,2)/$A$33</f>
        <v>6.6666666666666666E-2</v>
      </c>
      <c r="F23" s="7">
        <f>COUNTIFS(F$2:F$17,2)/$A$33</f>
        <v>0</v>
      </c>
      <c r="G23" s="7">
        <f>COUNTIFS(G$2:G$17,2)/$A$33</f>
        <v>0</v>
      </c>
      <c r="I23" s="7">
        <f t="shared" ref="I23:S23" si="6">COUNTIFS(I$2:I$17,2)/$A$33</f>
        <v>0</v>
      </c>
      <c r="J23" s="7">
        <f t="shared" si="6"/>
        <v>0</v>
      </c>
      <c r="K23" s="7">
        <f t="shared" si="6"/>
        <v>0</v>
      </c>
      <c r="L23" s="7">
        <f t="shared" si="6"/>
        <v>0</v>
      </c>
      <c r="M23" s="7">
        <f t="shared" si="6"/>
        <v>6.6666666666666666E-2</v>
      </c>
      <c r="N23" s="7">
        <f t="shared" si="6"/>
        <v>0</v>
      </c>
      <c r="O23" s="7">
        <f t="shared" si="6"/>
        <v>0</v>
      </c>
      <c r="P23" s="7">
        <f t="shared" si="6"/>
        <v>0</v>
      </c>
      <c r="Q23" s="7">
        <f t="shared" si="6"/>
        <v>0</v>
      </c>
      <c r="R23" s="7">
        <f t="shared" si="6"/>
        <v>0</v>
      </c>
      <c r="S23" s="7">
        <f t="shared" si="6"/>
        <v>6.6666666666666666E-2</v>
      </c>
      <c r="U23" s="7">
        <f t="shared" ref="U23:AB23" si="7">COUNTIFS(U$2:U$17,2)/$A$33</f>
        <v>0</v>
      </c>
      <c r="V23" s="7">
        <f t="shared" si="7"/>
        <v>0</v>
      </c>
      <c r="W23" s="7">
        <f t="shared" si="7"/>
        <v>0</v>
      </c>
      <c r="X23" s="7">
        <f t="shared" si="7"/>
        <v>6.6666666666666666E-2</v>
      </c>
      <c r="Y23" s="7">
        <f t="shared" si="7"/>
        <v>0</v>
      </c>
      <c r="Z23" s="7">
        <f t="shared" si="7"/>
        <v>6.6666666666666666E-2</v>
      </c>
      <c r="AA23" s="7">
        <f t="shared" si="7"/>
        <v>0</v>
      </c>
      <c r="AB23" s="7">
        <f t="shared" si="7"/>
        <v>0</v>
      </c>
    </row>
    <row r="24" spans="1:28" x14ac:dyDescent="0.25">
      <c r="B24" s="10" t="str">
        <f>'Dashboard-1-AVALIAÇÃO INST.'!$A$25</f>
        <v>1-RUIM</v>
      </c>
      <c r="C24" s="7">
        <f>COUNTIFS(C$2:C$17,1)/$A$33</f>
        <v>0</v>
      </c>
      <c r="D24" s="7">
        <f>COUNTIFS(D$2:D$17,1)/$A$33</f>
        <v>0</v>
      </c>
      <c r="E24" s="7">
        <f>COUNTIFS(E$2:E$17,1)/$A$33</f>
        <v>6.6666666666666666E-2</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6.6666666666666666E-2</v>
      </c>
      <c r="Q24" s="7">
        <f t="shared" si="8"/>
        <v>6.6666666666666666E-2</v>
      </c>
      <c r="R24" s="7">
        <f t="shared" si="8"/>
        <v>0</v>
      </c>
      <c r="S24" s="7">
        <f t="shared" si="8"/>
        <v>6.6666666666666666E-2</v>
      </c>
      <c r="U24" s="7">
        <f t="shared" ref="U24:AB24" si="9">COUNTIFS(U$2:U$17,1)/$A$33</f>
        <v>6.6666666666666666E-2</v>
      </c>
      <c r="V24" s="7">
        <f t="shared" si="9"/>
        <v>0</v>
      </c>
      <c r="W24" s="7">
        <f t="shared" si="9"/>
        <v>0</v>
      </c>
      <c r="X24" s="7">
        <f t="shared" si="9"/>
        <v>6.6666666666666666E-2</v>
      </c>
      <c r="Y24" s="7">
        <f t="shared" si="9"/>
        <v>0</v>
      </c>
      <c r="Z24" s="7">
        <f t="shared" si="9"/>
        <v>6.6666666666666666E-2</v>
      </c>
      <c r="AA24" s="7">
        <f t="shared" si="9"/>
        <v>0</v>
      </c>
      <c r="AB24" s="7">
        <f t="shared" si="9"/>
        <v>6.6666666666666666E-2</v>
      </c>
    </row>
    <row r="25" spans="1:28" x14ac:dyDescent="0.25">
      <c r="B25" s="10" t="str">
        <f>'Dashboard-1-AVALIAÇÃO INST.'!$A$26</f>
        <v>0-NÃO SE APLICA</v>
      </c>
      <c r="C25" s="7">
        <f>COUNTIFS(C$2:C$17,0)/$A$33</f>
        <v>0</v>
      </c>
      <c r="D25" s="7">
        <f>COUNTIFS(D$2:D$17,0)/$A$33</f>
        <v>6.6666666666666666E-2</v>
      </c>
      <c r="E25" s="7">
        <f>COUNTIFS(E$2:E$17,0)/$A$33</f>
        <v>0.13333333333333333</v>
      </c>
      <c r="F25" s="7">
        <f>COUNTIFS(F$2:F$17,0)/$A$33</f>
        <v>0</v>
      </c>
      <c r="G25" s="7">
        <f>COUNTIFS(G$2:G$17,0)/$A$33</f>
        <v>0</v>
      </c>
      <c r="I25" s="7">
        <f t="shared" ref="I25:S25" si="10">COUNTIFS(I$2:I$17,0)/$A$33</f>
        <v>6.6666666666666666E-2</v>
      </c>
      <c r="J25" s="7">
        <f t="shared" si="10"/>
        <v>0</v>
      </c>
      <c r="K25" s="7">
        <f t="shared" si="10"/>
        <v>0</v>
      </c>
      <c r="L25" s="7">
        <f t="shared" si="10"/>
        <v>0</v>
      </c>
      <c r="M25" s="7">
        <f t="shared" si="10"/>
        <v>0</v>
      </c>
      <c r="N25" s="7">
        <f t="shared" si="10"/>
        <v>0</v>
      </c>
      <c r="O25" s="7">
        <f t="shared" si="10"/>
        <v>0</v>
      </c>
      <c r="P25" s="7">
        <f t="shared" si="10"/>
        <v>0</v>
      </c>
      <c r="Q25" s="7">
        <f t="shared" si="10"/>
        <v>0</v>
      </c>
      <c r="R25" s="7">
        <f t="shared" si="10"/>
        <v>0</v>
      </c>
      <c r="S25" s="7">
        <f t="shared" si="10"/>
        <v>0</v>
      </c>
      <c r="U25" s="7">
        <f t="shared" ref="U25:AB25" si="11">COUNTIFS(U$2:U$17,0)/$A$33</f>
        <v>0.13333333333333333</v>
      </c>
      <c r="V25" s="7">
        <f t="shared" si="11"/>
        <v>0.13333333333333333</v>
      </c>
      <c r="W25" s="7">
        <f t="shared" si="11"/>
        <v>0.13333333333333333</v>
      </c>
      <c r="X25" s="7">
        <f t="shared" si="11"/>
        <v>0.13333333333333333</v>
      </c>
      <c r="Y25" s="7">
        <f t="shared" si="11"/>
        <v>0.13333333333333333</v>
      </c>
      <c r="Z25" s="7">
        <f t="shared" si="11"/>
        <v>0.13333333333333333</v>
      </c>
      <c r="AA25" s="7">
        <f t="shared" si="11"/>
        <v>0.26666666666666666</v>
      </c>
      <c r="AB25" s="7">
        <f t="shared" si="11"/>
        <v>0.26666666666666666</v>
      </c>
    </row>
    <row r="26" spans="1:28"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1</v>
      </c>
      <c r="D28" s="170">
        <f t="shared" ref="D28:E28" si="14">D20+D21</f>
        <v>0.8666666666666667</v>
      </c>
      <c r="E28" s="170">
        <f t="shared" si="14"/>
        <v>0.60000000000000009</v>
      </c>
      <c r="F28" s="170">
        <f t="shared" ref="F28:AB28" si="15">F20+F21</f>
        <v>0.93333333333333335</v>
      </c>
      <c r="G28" s="170">
        <f t="shared" si="15"/>
        <v>1</v>
      </c>
      <c r="H28" s="170">
        <f t="shared" si="15"/>
        <v>0</v>
      </c>
      <c r="I28" s="170">
        <f t="shared" si="15"/>
        <v>0.8666666666666667</v>
      </c>
      <c r="J28" s="170">
        <f t="shared" si="15"/>
        <v>0.93333333333333335</v>
      </c>
      <c r="K28" s="170">
        <f t="shared" si="15"/>
        <v>1</v>
      </c>
      <c r="L28" s="170">
        <f t="shared" si="15"/>
        <v>1</v>
      </c>
      <c r="M28" s="170">
        <f t="shared" si="15"/>
        <v>0.93333333333333335</v>
      </c>
      <c r="N28" s="170">
        <f t="shared" si="15"/>
        <v>1</v>
      </c>
      <c r="O28" s="170">
        <f t="shared" si="15"/>
        <v>1</v>
      </c>
      <c r="P28" s="170">
        <f t="shared" si="15"/>
        <v>0.8666666666666667</v>
      </c>
      <c r="Q28" s="170">
        <f t="shared" si="15"/>
        <v>0.93333333333333335</v>
      </c>
      <c r="R28" s="170">
        <f t="shared" si="15"/>
        <v>1</v>
      </c>
      <c r="S28" s="170">
        <f t="shared" si="15"/>
        <v>0.8</v>
      </c>
      <c r="T28" s="170">
        <f t="shared" si="15"/>
        <v>0</v>
      </c>
      <c r="U28" s="170">
        <f t="shared" si="15"/>
        <v>0.60000000000000009</v>
      </c>
      <c r="V28" s="170">
        <f t="shared" si="15"/>
        <v>0.8666666666666667</v>
      </c>
      <c r="W28" s="170">
        <f t="shared" si="15"/>
        <v>0.66666666666666674</v>
      </c>
      <c r="X28" s="170">
        <f t="shared" si="15"/>
        <v>0.46666666666666667</v>
      </c>
      <c r="Y28" s="170">
        <f t="shared" si="15"/>
        <v>0.6</v>
      </c>
      <c r="Z28" s="170">
        <f t="shared" si="15"/>
        <v>0.6</v>
      </c>
      <c r="AA28" s="170">
        <f t="shared" si="15"/>
        <v>0.73333333333333328</v>
      </c>
      <c r="AB28" s="166">
        <f t="shared" si="15"/>
        <v>0.33333333333333337</v>
      </c>
    </row>
    <row r="29" spans="1:28" ht="15.6" x14ac:dyDescent="0.3">
      <c r="B29" s="110" t="str">
        <f>'Dashboard-1-AVALIAÇÃO INST.'!$A$30</f>
        <v>BOM</v>
      </c>
      <c r="C29" s="171">
        <f>C22</f>
        <v>0</v>
      </c>
      <c r="D29" s="168">
        <f t="shared" ref="D29:E29" si="16">D22</f>
        <v>6.6666666666666666E-2</v>
      </c>
      <c r="E29" s="168">
        <f t="shared" si="16"/>
        <v>0.13333333333333333</v>
      </c>
      <c r="F29" s="168">
        <f t="shared" ref="F29:AB29" si="17">F22</f>
        <v>6.6666666666666666E-2</v>
      </c>
      <c r="G29" s="168">
        <f t="shared" si="17"/>
        <v>0</v>
      </c>
      <c r="H29" s="168">
        <f t="shared" si="17"/>
        <v>0</v>
      </c>
      <c r="I29" s="168">
        <f t="shared" si="17"/>
        <v>6.6666666666666666E-2</v>
      </c>
      <c r="J29" s="168">
        <f t="shared" si="17"/>
        <v>6.6666666666666666E-2</v>
      </c>
      <c r="K29" s="168">
        <f t="shared" si="17"/>
        <v>0</v>
      </c>
      <c r="L29" s="168">
        <f t="shared" si="17"/>
        <v>0</v>
      </c>
      <c r="M29" s="168">
        <f t="shared" si="17"/>
        <v>0</v>
      </c>
      <c r="N29" s="168">
        <f t="shared" si="17"/>
        <v>0</v>
      </c>
      <c r="O29" s="168">
        <f t="shared" si="17"/>
        <v>0</v>
      </c>
      <c r="P29" s="168">
        <f t="shared" si="17"/>
        <v>6.6666666666666666E-2</v>
      </c>
      <c r="Q29" s="168">
        <f t="shared" si="17"/>
        <v>0</v>
      </c>
      <c r="R29" s="168">
        <f t="shared" si="17"/>
        <v>0</v>
      </c>
      <c r="S29" s="168">
        <f t="shared" si="17"/>
        <v>6.6666666666666666E-2</v>
      </c>
      <c r="T29" s="168">
        <f t="shared" si="17"/>
        <v>0</v>
      </c>
      <c r="U29" s="168">
        <f t="shared" si="17"/>
        <v>0.2</v>
      </c>
      <c r="V29" s="168">
        <f t="shared" si="17"/>
        <v>0</v>
      </c>
      <c r="W29" s="168">
        <f t="shared" si="17"/>
        <v>0.2</v>
      </c>
      <c r="X29" s="168">
        <f t="shared" si="17"/>
        <v>0.26666666666666666</v>
      </c>
      <c r="Y29" s="168">
        <f t="shared" si="17"/>
        <v>0.26666666666666666</v>
      </c>
      <c r="Z29" s="168">
        <f t="shared" si="17"/>
        <v>0.13333333333333333</v>
      </c>
      <c r="AA29" s="168">
        <f t="shared" si="17"/>
        <v>0</v>
      </c>
      <c r="AB29" s="167">
        <f t="shared" si="17"/>
        <v>0.33333333333333331</v>
      </c>
    </row>
    <row r="30" spans="1:28" ht="15.6" x14ac:dyDescent="0.3">
      <c r="B30" s="110" t="str">
        <f>'Dashboard-1-AVALIAÇÃO INST.'!$A$31</f>
        <v>RUIM / REGULAR</v>
      </c>
      <c r="C30" s="171">
        <f>C23+C24</f>
        <v>0</v>
      </c>
      <c r="D30" s="168">
        <f t="shared" ref="D30:E30" si="18">D23+D24</f>
        <v>0</v>
      </c>
      <c r="E30" s="168">
        <f t="shared" si="18"/>
        <v>0.13333333333333333</v>
      </c>
      <c r="F30" s="168">
        <f t="shared" ref="F30:AB30" si="19">F23+F24</f>
        <v>0</v>
      </c>
      <c r="G30" s="168">
        <f t="shared" si="19"/>
        <v>0</v>
      </c>
      <c r="H30" s="168">
        <f t="shared" si="19"/>
        <v>0</v>
      </c>
      <c r="I30" s="168">
        <f t="shared" si="19"/>
        <v>0</v>
      </c>
      <c r="J30" s="168">
        <f t="shared" si="19"/>
        <v>0</v>
      </c>
      <c r="K30" s="168">
        <f t="shared" si="19"/>
        <v>0</v>
      </c>
      <c r="L30" s="168">
        <f t="shared" si="19"/>
        <v>0</v>
      </c>
      <c r="M30" s="168">
        <f t="shared" si="19"/>
        <v>6.6666666666666666E-2</v>
      </c>
      <c r="N30" s="168">
        <f t="shared" si="19"/>
        <v>0</v>
      </c>
      <c r="O30" s="168">
        <f t="shared" si="19"/>
        <v>0</v>
      </c>
      <c r="P30" s="168">
        <f t="shared" si="19"/>
        <v>6.6666666666666666E-2</v>
      </c>
      <c r="Q30" s="168">
        <f t="shared" si="19"/>
        <v>6.6666666666666666E-2</v>
      </c>
      <c r="R30" s="168">
        <f t="shared" si="19"/>
        <v>0</v>
      </c>
      <c r="S30" s="168">
        <f t="shared" si="19"/>
        <v>0.13333333333333333</v>
      </c>
      <c r="T30" s="168">
        <f t="shared" si="19"/>
        <v>0</v>
      </c>
      <c r="U30" s="168">
        <f t="shared" si="19"/>
        <v>6.6666666666666666E-2</v>
      </c>
      <c r="V30" s="168">
        <f t="shared" si="19"/>
        <v>0</v>
      </c>
      <c r="W30" s="168">
        <f t="shared" si="19"/>
        <v>0</v>
      </c>
      <c r="X30" s="168">
        <f t="shared" si="19"/>
        <v>0.13333333333333333</v>
      </c>
      <c r="Y30" s="168">
        <f t="shared" si="19"/>
        <v>0</v>
      </c>
      <c r="Z30" s="168">
        <f t="shared" si="19"/>
        <v>0.13333333333333333</v>
      </c>
      <c r="AA30" s="168">
        <f t="shared" si="19"/>
        <v>0</v>
      </c>
      <c r="AB30" s="167">
        <f t="shared" si="19"/>
        <v>6.6666666666666666E-2</v>
      </c>
    </row>
    <row r="31" spans="1:28" ht="15.6" x14ac:dyDescent="0.3">
      <c r="B31" s="111" t="str">
        <f>'Dashboard-1-AVALIAÇÃO INST.'!$A$32</f>
        <v>NÃO SE APLICA / NÃO SEI</v>
      </c>
      <c r="C31" s="172">
        <f>C25</f>
        <v>0</v>
      </c>
      <c r="D31" s="173">
        <f t="shared" ref="D31:E31" si="20">D25</f>
        <v>6.6666666666666666E-2</v>
      </c>
      <c r="E31" s="173">
        <f t="shared" si="20"/>
        <v>0.13333333333333333</v>
      </c>
      <c r="F31" s="173">
        <f t="shared" ref="F31:AB31" si="21">F25</f>
        <v>0</v>
      </c>
      <c r="G31" s="173">
        <f t="shared" si="21"/>
        <v>0</v>
      </c>
      <c r="H31" s="173">
        <f t="shared" si="21"/>
        <v>0</v>
      </c>
      <c r="I31" s="173">
        <f t="shared" si="21"/>
        <v>6.6666666666666666E-2</v>
      </c>
      <c r="J31" s="173">
        <f t="shared" si="21"/>
        <v>0</v>
      </c>
      <c r="K31" s="173">
        <f t="shared" si="21"/>
        <v>0</v>
      </c>
      <c r="L31" s="173">
        <f t="shared" si="21"/>
        <v>0</v>
      </c>
      <c r="M31" s="173">
        <f t="shared" si="21"/>
        <v>0</v>
      </c>
      <c r="N31" s="173">
        <f t="shared" si="21"/>
        <v>0</v>
      </c>
      <c r="O31" s="173">
        <f t="shared" si="21"/>
        <v>0</v>
      </c>
      <c r="P31" s="173">
        <f t="shared" si="21"/>
        <v>0</v>
      </c>
      <c r="Q31" s="173">
        <f t="shared" si="21"/>
        <v>0</v>
      </c>
      <c r="R31" s="173">
        <f t="shared" si="21"/>
        <v>0</v>
      </c>
      <c r="S31" s="173">
        <f t="shared" si="21"/>
        <v>0</v>
      </c>
      <c r="T31" s="173">
        <f t="shared" si="21"/>
        <v>0</v>
      </c>
      <c r="U31" s="173">
        <f t="shared" si="21"/>
        <v>0.13333333333333333</v>
      </c>
      <c r="V31" s="173">
        <f t="shared" si="21"/>
        <v>0.13333333333333333</v>
      </c>
      <c r="W31" s="173">
        <f t="shared" si="21"/>
        <v>0.13333333333333333</v>
      </c>
      <c r="X31" s="173">
        <f t="shared" si="21"/>
        <v>0.13333333333333333</v>
      </c>
      <c r="Y31" s="173">
        <f t="shared" si="21"/>
        <v>0.13333333333333333</v>
      </c>
      <c r="Z31" s="173">
        <f t="shared" si="21"/>
        <v>0.13333333333333333</v>
      </c>
      <c r="AA31" s="173">
        <f t="shared" si="21"/>
        <v>0.26666666666666666</v>
      </c>
      <c r="AB31" s="174">
        <f t="shared" si="21"/>
        <v>0.26666666666666666</v>
      </c>
    </row>
    <row r="32" spans="1:28" x14ac:dyDescent="0.25">
      <c r="A32" s="5" t="s">
        <v>211</v>
      </c>
      <c r="B32" s="91"/>
      <c r="C32" s="165">
        <f>SUM(C28:C31)</f>
        <v>1</v>
      </c>
      <c r="D32" s="165">
        <f t="shared" ref="D32:E32" si="22">SUM(D28:D31)</f>
        <v>1</v>
      </c>
      <c r="E32" s="165">
        <f t="shared" si="22"/>
        <v>1</v>
      </c>
      <c r="F32" s="165">
        <f t="shared" ref="F32" si="23">SUM(F28:F31)</f>
        <v>1</v>
      </c>
      <c r="G32" s="165">
        <f t="shared" ref="G32" si="24">SUM(G28:G31)</f>
        <v>1</v>
      </c>
      <c r="H32" s="165">
        <f t="shared" ref="H32" si="25">SUM(H28:H31)</f>
        <v>0</v>
      </c>
      <c r="I32" s="165">
        <f t="shared" ref="I32" si="26">SUM(I28:I31)</f>
        <v>1</v>
      </c>
      <c r="J32" s="165">
        <f t="shared" ref="J32" si="27">SUM(J28:J31)</f>
        <v>1</v>
      </c>
      <c r="K32" s="165">
        <f t="shared" ref="K32" si="28">SUM(K28:K31)</f>
        <v>1</v>
      </c>
      <c r="L32" s="165">
        <f t="shared" ref="L32" si="29">SUM(L28:L31)</f>
        <v>1</v>
      </c>
      <c r="M32" s="165">
        <f t="shared" ref="M32" si="30">SUM(M28:M31)</f>
        <v>1</v>
      </c>
      <c r="N32" s="165">
        <f t="shared" ref="N32" si="31">SUM(N28:N31)</f>
        <v>1</v>
      </c>
      <c r="O32" s="165">
        <f t="shared" ref="O32" si="32">SUM(O28:O31)</f>
        <v>1</v>
      </c>
      <c r="P32" s="165">
        <f t="shared" ref="P32" si="33">SUM(P28:P31)</f>
        <v>1</v>
      </c>
      <c r="Q32" s="165">
        <f t="shared" ref="Q32" si="34">SUM(Q28:Q31)</f>
        <v>1</v>
      </c>
      <c r="R32" s="165">
        <f t="shared" ref="R32" si="35">SUM(R28:R31)</f>
        <v>1</v>
      </c>
      <c r="S32" s="165">
        <f t="shared" ref="S32" si="36">SUM(S28:S31)</f>
        <v>1</v>
      </c>
      <c r="T32" s="165">
        <f t="shared" ref="T32" si="37">SUM(T28:T31)</f>
        <v>0</v>
      </c>
      <c r="U32" s="165">
        <f t="shared" ref="U32" si="38">SUM(U28:U31)</f>
        <v>1</v>
      </c>
      <c r="V32" s="165">
        <f t="shared" ref="V32" si="39">SUM(V28:V31)</f>
        <v>1</v>
      </c>
      <c r="W32" s="165">
        <f t="shared" ref="W32" si="40">SUM(W28:W31)</f>
        <v>1</v>
      </c>
      <c r="X32" s="165">
        <f t="shared" ref="X32" si="41">SUM(X28:X31)</f>
        <v>1</v>
      </c>
      <c r="Y32" s="165">
        <f t="shared" ref="Y32" si="42">SUM(Y28:Y31)</f>
        <v>1</v>
      </c>
      <c r="Z32" s="165">
        <f t="shared" ref="Z32" si="43">SUM(Z28:Z31)</f>
        <v>0.99999999999999989</v>
      </c>
      <c r="AA32" s="165">
        <f t="shared" ref="AA32" si="44">SUM(AA28:AA31)</f>
        <v>1</v>
      </c>
      <c r="AB32" s="165">
        <f t="shared" ref="AB32" si="45">SUM(AB28:AB31)</f>
        <v>1</v>
      </c>
    </row>
    <row r="33" spans="1:2" x14ac:dyDescent="0.25">
      <c r="A33" s="6">
        <f>COUNT(C2:C17)</f>
        <v>15</v>
      </c>
    </row>
    <row r="35" spans="1:2" x14ac:dyDescent="0.25">
      <c r="A35" s="55" t="s">
        <v>30</v>
      </c>
      <c r="B35" s="55">
        <f>COUNTIF(B$2:B$17,"DISCENTE")</f>
        <v>13</v>
      </c>
    </row>
    <row r="36" spans="1:2" x14ac:dyDescent="0.25">
      <c r="A36" s="55" t="s">
        <v>29</v>
      </c>
      <c r="B36" s="55">
        <f>COUNTIF(B$2:B$17,"DOCENTE")</f>
        <v>2</v>
      </c>
    </row>
    <row r="37" spans="1:2" ht="13.8" x14ac:dyDescent="0.25">
      <c r="B37" s="56" t="str">
        <f>IF(B35+B36=A33,"Verificado","Erro")</f>
        <v>Verificado</v>
      </c>
    </row>
  </sheetData>
  <sheetProtection algorithmName="SHA-512" hashValue="d6+PxfkwxRIAQpulFPFUTf1pZu45h6Q9v4Rw353fi6yv7nUF9+aVd+Imz4n83uXDnF0vzIH4pHsifQDDh1oBKQ==" saltValue="ftaNolBxHNcWsDIJ1n55Xw==" spinCount="100000" sheet="1" objects="1" scenarios="1"/>
  <conditionalFormatting sqref="C20:G25 I20:S25 U20:AB25">
    <cfRule type="colorScale" priority="5">
      <colorScale>
        <cfvo type="min"/>
        <cfvo type="max"/>
        <color rgb="FFFCFCFF"/>
        <color rgb="FF63BE7B"/>
      </colorScale>
    </cfRule>
  </conditionalFormatting>
  <conditionalFormatting sqref="C26:G26">
    <cfRule type="iconSet" priority="10">
      <iconSet iconSet="3Flags">
        <cfvo type="percent" val="0"/>
        <cfvo type="percent" val="33"/>
        <cfvo type="percent" val="67"/>
      </iconSet>
    </cfRule>
    <cfRule type="containsText" dxfId="2" priority="11" operator="containsText" text="Conferido!">
      <formula>NOT(ISERROR(SEARCH("Conferido!",C26)))</formula>
    </cfRule>
  </conditionalFormatting>
  <conditionalFormatting sqref="C20:AB24 C25:G25 I25:AB25 H25:H27">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1"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0" priority="7" operator="containsText" text="Conferido!">
      <formula>NOT(ISERROR(SEARCH("Conferido!",U26)))</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5DDDA-5764-4BFE-AB03-815ED587409D}">
  <sheetPr codeName="Planilha4">
    <tabColor theme="4" tint="-0.499984740745262"/>
  </sheetPr>
  <dimension ref="A1:AG537"/>
  <sheetViews>
    <sheetView zoomScale="75" zoomScaleNormal="75" workbookViewId="0">
      <pane xSplit="1" topLeftCell="B1" activePane="topRight" state="frozen"/>
      <selection pane="topRight" activeCell="A16" sqref="A16"/>
    </sheetView>
  </sheetViews>
  <sheetFormatPr defaultColWidth="8.77734375" defaultRowHeight="13.2" x14ac:dyDescent="0.25"/>
  <cols>
    <col min="1" max="1" width="100" style="45" customWidth="1"/>
    <col min="2" max="2" width="9.77734375" style="15" customWidth="1"/>
    <col min="3" max="3" width="10.21875" style="15" customWidth="1"/>
    <col min="4" max="4" width="53" style="15" customWidth="1"/>
    <col min="5" max="5" width="21.77734375" style="15" customWidth="1"/>
    <col min="6" max="6" width="21.44140625" style="15" customWidth="1"/>
    <col min="7" max="7" width="17.77734375" style="15" customWidth="1"/>
    <col min="8" max="17" width="9.21875" style="15"/>
    <col min="18" max="18" width="15.44140625" style="15" customWidth="1"/>
    <col min="19" max="19" width="15.77734375" style="15" customWidth="1"/>
    <col min="20" max="20" width="53.77734375" style="15" customWidth="1"/>
    <col min="21" max="21" width="19" style="15" customWidth="1"/>
    <col min="22" max="31" width="9.21875" style="15"/>
    <col min="32" max="33" width="8.77734375" style="15"/>
  </cols>
  <sheetData>
    <row r="1" spans="1:26" ht="13.8" thickBot="1" x14ac:dyDescent="0.3">
      <c r="A1" s="44"/>
    </row>
    <row r="2" spans="1:26" ht="15.75" customHeight="1" x14ac:dyDescent="0.25">
      <c r="A2" s="44"/>
      <c r="E2" s="196" t="s">
        <v>280</v>
      </c>
      <c r="F2" s="197"/>
      <c r="G2" s="197"/>
      <c r="H2" s="197"/>
      <c r="I2" s="197"/>
      <c r="J2" s="197"/>
      <c r="K2" s="197"/>
      <c r="L2" s="197"/>
      <c r="M2" s="197"/>
      <c r="N2" s="197"/>
      <c r="O2" s="197"/>
      <c r="P2" s="197"/>
      <c r="Q2" s="197"/>
      <c r="R2" s="197"/>
      <c r="S2" s="198"/>
      <c r="T2" s="22"/>
      <c r="U2" s="22"/>
      <c r="V2" s="22"/>
      <c r="W2" s="22"/>
      <c r="X2" s="22"/>
      <c r="Y2" s="22"/>
      <c r="Z2" s="22"/>
    </row>
    <row r="3" spans="1:26" ht="15.75" customHeight="1" x14ac:dyDescent="0.25">
      <c r="A3" s="44"/>
      <c r="E3" s="199"/>
      <c r="F3" s="200"/>
      <c r="G3" s="200"/>
      <c r="H3" s="200"/>
      <c r="I3" s="200"/>
      <c r="J3" s="200"/>
      <c r="K3" s="200"/>
      <c r="L3" s="200"/>
      <c r="M3" s="200"/>
      <c r="N3" s="200"/>
      <c r="O3" s="200"/>
      <c r="P3" s="200"/>
      <c r="Q3" s="200"/>
      <c r="R3" s="200"/>
      <c r="S3" s="201"/>
      <c r="T3" s="22"/>
      <c r="U3" s="22"/>
      <c r="V3" s="22"/>
      <c r="W3" s="22"/>
      <c r="X3" s="22"/>
      <c r="Y3" s="22"/>
      <c r="Z3" s="22"/>
    </row>
    <row r="4" spans="1:26" ht="15.75" customHeight="1" x14ac:dyDescent="0.25">
      <c r="A4" s="44"/>
      <c r="E4" s="199"/>
      <c r="F4" s="200"/>
      <c r="G4" s="200"/>
      <c r="H4" s="200"/>
      <c r="I4" s="200"/>
      <c r="J4" s="200"/>
      <c r="K4" s="200"/>
      <c r="L4" s="200"/>
      <c r="M4" s="200"/>
      <c r="N4" s="200"/>
      <c r="O4" s="200"/>
      <c r="P4" s="200"/>
      <c r="Q4" s="200"/>
      <c r="R4" s="200"/>
      <c r="S4" s="201"/>
      <c r="T4" s="22"/>
      <c r="U4" s="22"/>
      <c r="V4" s="22"/>
      <c r="W4" s="22"/>
      <c r="X4" s="22"/>
      <c r="Y4" s="22"/>
      <c r="Z4" s="22"/>
    </row>
    <row r="5" spans="1:26" ht="15.75" customHeight="1" thickBot="1" x14ac:dyDescent="0.3">
      <c r="A5" s="44"/>
      <c r="E5" s="202"/>
      <c r="F5" s="203"/>
      <c r="G5" s="203"/>
      <c r="H5" s="203"/>
      <c r="I5" s="203"/>
      <c r="J5" s="203"/>
      <c r="K5" s="203"/>
      <c r="L5" s="203"/>
      <c r="M5" s="203"/>
      <c r="N5" s="203"/>
      <c r="O5" s="203"/>
      <c r="P5" s="203"/>
      <c r="Q5" s="203"/>
      <c r="R5" s="203"/>
      <c r="S5" s="204"/>
      <c r="T5" s="22"/>
      <c r="U5" s="22"/>
      <c r="V5" s="22"/>
      <c r="W5" s="22"/>
      <c r="X5" s="22"/>
      <c r="Y5" s="22"/>
      <c r="Z5" s="22"/>
    </row>
    <row r="6" spans="1:26" ht="15.75" customHeight="1" x14ac:dyDescent="0.4">
      <c r="A6" s="44"/>
      <c r="E6" s="30"/>
      <c r="T6" s="43"/>
      <c r="U6" s="43"/>
    </row>
    <row r="7" spans="1:26" ht="17.399999999999999" x14ac:dyDescent="0.3">
      <c r="A7" s="44"/>
      <c r="D7" s="16"/>
      <c r="E7" s="32" t="s">
        <v>271</v>
      </c>
      <c r="F7" s="17" t="str">
        <f>'2-Autoavaliacao-Discente-Egress'!C1</f>
        <v>01- As orientações recebidas foram suficientes e claras para o desempenho das suas atividades?</v>
      </c>
      <c r="T7" s="36" t="str">
        <f>E7</f>
        <v>QUESTÃO 01</v>
      </c>
      <c r="U7" s="148"/>
    </row>
    <row r="8" spans="1:26" ht="15.6" x14ac:dyDescent="0.3">
      <c r="A8" s="44"/>
      <c r="D8" s="16"/>
      <c r="E8" s="18"/>
      <c r="T8" s="16"/>
      <c r="U8" s="16"/>
    </row>
    <row r="9" spans="1:26" ht="15.6" x14ac:dyDescent="0.3">
      <c r="A9" s="44"/>
      <c r="E9" s="23" t="s">
        <v>245</v>
      </c>
      <c r="F9" s="23" t="s">
        <v>246</v>
      </c>
      <c r="T9" s="66" t="str">
        <f>$A$20</f>
        <v>5-ÓTIMO</v>
      </c>
      <c r="U9" s="145">
        <f>(COUNTIFS('2-Autoavaliacao-Discente-Egress'!C$2:C$33,5)+COUNTIFS('2-Autoavaliacao-Discente-Egress'!C$50:C$85,5))/$A$16</f>
        <v>0.5757575757575758</v>
      </c>
    </row>
    <row r="10" spans="1:26" ht="15" x14ac:dyDescent="0.25">
      <c r="A10" s="44"/>
      <c r="D10" s="66" t="str">
        <f>$A$20</f>
        <v>5-ÓTIMO</v>
      </c>
      <c r="E10" s="24">
        <f>'2-Autoavaliacao-Discente-Egress'!C36</f>
        <v>0.54838709677419351</v>
      </c>
      <c r="F10" s="25">
        <f>'2-Autoavaliacao-Discente-Egress'!C91</f>
        <v>0.6</v>
      </c>
      <c r="T10" s="67" t="str">
        <f>$A$21</f>
        <v>4-MUITO BOM</v>
      </c>
      <c r="U10" s="146">
        <f>(COUNTIFS('2-Autoavaliacao-Discente-Egress'!C$2:C$33,4)+COUNTIFS('2-Autoavaliacao-Discente-Egress'!C$50:C$85,4))/$A$16</f>
        <v>0.22727272727272727</v>
      </c>
    </row>
    <row r="11" spans="1:26" ht="15" x14ac:dyDescent="0.25">
      <c r="A11" s="44"/>
      <c r="D11" s="67" t="str">
        <f>$A$21</f>
        <v>4-MUITO BOM</v>
      </c>
      <c r="E11" s="26">
        <f>'2-Autoavaliacao-Discente-Egress'!C37</f>
        <v>0.22580645161290322</v>
      </c>
      <c r="F11" s="27">
        <f>'2-Autoavaliacao-Discente-Egress'!C92</f>
        <v>0.22857142857142856</v>
      </c>
      <c r="T11" s="67" t="str">
        <f>$A$22</f>
        <v>3-BOM</v>
      </c>
      <c r="U11" s="146">
        <f>(COUNTIFS('2-Autoavaliacao-Discente-Egress'!C$2:C$33,3)+COUNTIFS('2-Autoavaliacao-Discente-Egress'!C$50:C$85,3))/$A$16</f>
        <v>0.10606060606060606</v>
      </c>
    </row>
    <row r="12" spans="1:26" ht="15" x14ac:dyDescent="0.25">
      <c r="A12" s="44"/>
      <c r="D12" s="67" t="str">
        <f>$A$22</f>
        <v>3-BOM</v>
      </c>
      <c r="E12" s="26">
        <f>'2-Autoavaliacao-Discente-Egress'!C38</f>
        <v>0.16129032258064516</v>
      </c>
      <c r="F12" s="27">
        <f>'2-Autoavaliacao-Discente-Egress'!C93</f>
        <v>5.7142857142857141E-2</v>
      </c>
      <c r="T12" s="67" t="str">
        <f>$A$23</f>
        <v>2-REGULAR</v>
      </c>
      <c r="U12" s="146">
        <f>(COUNTIFS('2-Autoavaliacao-Discente-Egress'!C$2:C$33,2)+COUNTIFS('2-Autoavaliacao-Discente-Egress'!C$50:C$85,2))/$A$16</f>
        <v>4.5454545454545456E-2</v>
      </c>
    </row>
    <row r="13" spans="1:26" ht="15" x14ac:dyDescent="0.25">
      <c r="A13" s="44"/>
      <c r="D13" s="67" t="str">
        <f>$A$23</f>
        <v>2-REGULAR</v>
      </c>
      <c r="E13" s="26">
        <f>'2-Autoavaliacao-Discente-Egress'!C39</f>
        <v>0</v>
      </c>
      <c r="F13" s="27">
        <f>'2-Autoavaliacao-Discente-Egress'!C94</f>
        <v>8.5714285714285715E-2</v>
      </c>
      <c r="T13" s="67" t="str">
        <f>$A$24</f>
        <v>1-RUIM</v>
      </c>
      <c r="U13" s="146">
        <f>(COUNTIFS('2-Autoavaliacao-Discente-Egress'!C$2:C$33,1)+COUNTIFS('2-Autoavaliacao-Discente-Egress'!C$50:C$85,1))/$A$16</f>
        <v>3.0303030303030304E-2</v>
      </c>
    </row>
    <row r="14" spans="1:26" ht="15" x14ac:dyDescent="0.25">
      <c r="A14" s="44"/>
      <c r="D14" s="67" t="str">
        <f>$A$24</f>
        <v>1-RUIM</v>
      </c>
      <c r="E14" s="26">
        <f>'2-Autoavaliacao-Discente-Egress'!C40</f>
        <v>6.4516129032258063E-2</v>
      </c>
      <c r="F14" s="27">
        <f>'2-Autoavaliacao-Discente-Egress'!C95</f>
        <v>0</v>
      </c>
      <c r="T14" s="68" t="str">
        <f>$A$25</f>
        <v>0-NÃO SE APLICA</v>
      </c>
      <c r="U14" s="147">
        <f>(COUNTIFS('2-Autoavaliacao-Discente-Egress'!C$2:C$33,0)+COUNTIFS('2-Autoavaliacao-Discente-Egress'!C$50:C$85,0))/$A$16</f>
        <v>1.5151515151515152E-2</v>
      </c>
    </row>
    <row r="15" spans="1:26" ht="21" x14ac:dyDescent="0.4">
      <c r="A15" s="191" t="s">
        <v>315</v>
      </c>
      <c r="D15" s="68" t="str">
        <f>$A$25</f>
        <v>0-NÃO SE APLICA</v>
      </c>
      <c r="E15" s="28">
        <f>'2-Autoavaliacao-Discente-Egress'!C41</f>
        <v>0</v>
      </c>
      <c r="F15" s="29">
        <f>'2-Autoavaliacao-Discente-Egress'!C96</f>
        <v>2.8571428571428571E-2</v>
      </c>
      <c r="P15" s="18"/>
    </row>
    <row r="16" spans="1:26" ht="21.75" customHeight="1" x14ac:dyDescent="0.3">
      <c r="A16" s="180">
        <f>A29+A32</f>
        <v>66</v>
      </c>
      <c r="P16" s="21"/>
      <c r="T16" s="79" t="str">
        <f>T7</f>
        <v>QUESTÃO 01</v>
      </c>
      <c r="U16" s="113" t="s">
        <v>255</v>
      </c>
    </row>
    <row r="17" spans="1:26" ht="21" customHeight="1" x14ac:dyDescent="0.3">
      <c r="D17" s="112"/>
      <c r="E17" s="113" t="s">
        <v>245</v>
      </c>
      <c r="F17" s="113" t="s">
        <v>246</v>
      </c>
      <c r="G17" s="75" t="s">
        <v>251</v>
      </c>
      <c r="O17" s="16"/>
      <c r="P17" s="18"/>
      <c r="T17" s="121" t="str">
        <f>'Dashboard-1-AVALIAÇÃO INST.'!$A$29</f>
        <v>MUITO BOM / ÓTIMO</v>
      </c>
      <c r="U17" s="99">
        <f>U9+U10</f>
        <v>0.80303030303030309</v>
      </c>
    </row>
    <row r="18" spans="1:26" ht="16.05" customHeight="1" x14ac:dyDescent="0.3">
      <c r="A18" s="205" t="s">
        <v>307</v>
      </c>
      <c r="D18" s="121" t="str">
        <f>'Dashboard-1-AVALIAÇÃO INST.'!$A$29</f>
        <v>MUITO BOM / ÓTIMO</v>
      </c>
      <c r="E18" s="119">
        <f>E10+E11</f>
        <v>0.77419354838709675</v>
      </c>
      <c r="F18" s="99">
        <f>F10+F11</f>
        <v>0.82857142857142851</v>
      </c>
      <c r="G18" s="34">
        <f>(F18-E18)*100</f>
        <v>5.4377880184331762</v>
      </c>
      <c r="O18" s="16"/>
      <c r="P18" s="18"/>
      <c r="T18" s="122" t="str">
        <f>'Dashboard-1-AVALIAÇÃO INST.'!$A$30</f>
        <v>BOM</v>
      </c>
      <c r="U18" s="101">
        <f>U11</f>
        <v>0.10606060606060606</v>
      </c>
    </row>
    <row r="19" spans="1:26" ht="19.5" customHeight="1" x14ac:dyDescent="0.3">
      <c r="A19" s="206"/>
      <c r="D19" s="122" t="str">
        <f>'Dashboard-1-AVALIAÇÃO INST.'!$A$30</f>
        <v>BOM</v>
      </c>
      <c r="E19" s="107">
        <f>E12</f>
        <v>0.16129032258064516</v>
      </c>
      <c r="F19" s="101">
        <f>F12</f>
        <v>5.7142857142857141E-2</v>
      </c>
      <c r="G19" s="34">
        <f>(F19-E19)*100</f>
        <v>-10.414746543778802</v>
      </c>
      <c r="O19" s="16"/>
      <c r="P19" s="18"/>
      <c r="T19" s="122" t="str">
        <f>'Dashboard-1-AVALIAÇÃO INST.'!$A$31</f>
        <v>RUIM / REGULAR</v>
      </c>
      <c r="U19" s="101">
        <f>U12+U13</f>
        <v>7.575757575757576E-2</v>
      </c>
    </row>
    <row r="20" spans="1:26" ht="17.399999999999999" x14ac:dyDescent="0.3">
      <c r="A20" s="181" t="str">
        <f>'Dashboard-1-AVALIAÇÃO INST.'!$A$21</f>
        <v>5-ÓTIMO</v>
      </c>
      <c r="D20" s="122" t="str">
        <f>'Dashboard-1-AVALIAÇÃO INST.'!$A$31</f>
        <v>RUIM / REGULAR</v>
      </c>
      <c r="E20" s="107">
        <f>E13+E14</f>
        <v>6.4516129032258063E-2</v>
      </c>
      <c r="F20" s="101">
        <f>F13+F14</f>
        <v>8.5714285714285715E-2</v>
      </c>
      <c r="G20" s="34">
        <f>(F20-E20)*100</f>
        <v>2.1198156682027651</v>
      </c>
      <c r="O20" s="16"/>
      <c r="P20" s="18"/>
      <c r="T20" s="123" t="str">
        <f>'Dashboard-1-AVALIAÇÃO INST.'!$A$32</f>
        <v>NÃO SE APLICA / NÃO SEI</v>
      </c>
      <c r="U20" s="103">
        <f>U14</f>
        <v>1.5151515151515152E-2</v>
      </c>
    </row>
    <row r="21" spans="1:26" ht="17.399999999999999" x14ac:dyDescent="0.3">
      <c r="A21" s="182" t="str">
        <f>'Dashboard-1-AVALIAÇÃO INST.'!$A$22</f>
        <v>4-MUITO BOM</v>
      </c>
      <c r="D21" s="123" t="str">
        <f>'Dashboard-1-AVALIAÇÃO INST.'!$A$32</f>
        <v>NÃO SE APLICA / NÃO SEI</v>
      </c>
      <c r="E21" s="120">
        <f>E15</f>
        <v>0</v>
      </c>
      <c r="F21" s="103">
        <f>F15</f>
        <v>2.8571428571428571E-2</v>
      </c>
      <c r="G21" s="34">
        <f>(F21-E21)*100</f>
        <v>2.8571428571428572</v>
      </c>
      <c r="O21" s="16"/>
      <c r="P21" s="18"/>
      <c r="T21" s="105">
        <f>(SUM(U17:U20))</f>
        <v>1.0000000000000002</v>
      </c>
      <c r="U21" s="106" t="str">
        <f>IF(T21=100%, "CORRETO","ERRO")</f>
        <v>CORRETO</v>
      </c>
    </row>
    <row r="22" spans="1:26" ht="17.399999999999999" x14ac:dyDescent="0.3">
      <c r="A22" s="182" t="str">
        <f>'Dashboard-1-AVALIAÇÃO INST.'!$A$23</f>
        <v>3-BOM</v>
      </c>
      <c r="D22" s="105">
        <f>(SUM(E18:E21))</f>
        <v>1</v>
      </c>
      <c r="E22" s="106" t="str">
        <f>IF(D22=100%, "CORRETO","ERRO")</f>
        <v>CORRETO</v>
      </c>
      <c r="F22" s="106" t="str">
        <f>IF(D23=100%, "CORRETO","ERRO")</f>
        <v>CORRETO</v>
      </c>
      <c r="O22" s="16"/>
      <c r="P22" s="18"/>
    </row>
    <row r="23" spans="1:26" ht="17.399999999999999" x14ac:dyDescent="0.3">
      <c r="A23" s="182" t="str">
        <f>'Dashboard-1-AVALIAÇÃO INST.'!$A$24</f>
        <v>2-REGULAR</v>
      </c>
      <c r="D23" s="105">
        <f>(SUM(F18:F21))</f>
        <v>1</v>
      </c>
    </row>
    <row r="24" spans="1:26" ht="22.5" customHeight="1" x14ac:dyDescent="0.3">
      <c r="A24" s="182" t="str">
        <f>'Dashboard-1-AVALIAÇÃO INST.'!$A$25</f>
        <v>1-RUIM</v>
      </c>
      <c r="E24" s="22"/>
      <c r="F24" s="22"/>
      <c r="G24" s="22"/>
      <c r="H24" s="22"/>
      <c r="I24" s="22"/>
      <c r="J24" s="22"/>
      <c r="K24" s="22"/>
      <c r="L24" s="22"/>
      <c r="M24" s="22"/>
      <c r="N24" s="22"/>
      <c r="Q24" s="22"/>
      <c r="R24" s="22"/>
      <c r="S24" s="22"/>
      <c r="T24" s="22"/>
      <c r="U24" s="22"/>
      <c r="V24" s="22"/>
      <c r="W24" s="22"/>
      <c r="X24" s="22"/>
      <c r="Y24" s="22"/>
      <c r="Z24" s="22"/>
    </row>
    <row r="25" spans="1:26" ht="17.399999999999999" x14ac:dyDescent="0.3">
      <c r="A25" s="183" t="str">
        <f>'Dashboard-1-AVALIAÇÃO INST.'!$A$26</f>
        <v>0-NÃO SE APLICA</v>
      </c>
    </row>
    <row r="26" spans="1:26" ht="10.95" customHeight="1" x14ac:dyDescent="0.3">
      <c r="D26" s="16"/>
      <c r="E26" s="32" t="s">
        <v>272</v>
      </c>
      <c r="F26" s="17" t="str">
        <f>'2-Autoavaliacao-Discente-Egress'!D1</f>
        <v xml:space="preserve">02- O orientador esteve disponível e acessível para atendimentos ? </v>
      </c>
      <c r="T26" s="36" t="str">
        <f>E26</f>
        <v>QUESTÃO 02</v>
      </c>
      <c r="U26" s="148"/>
    </row>
    <row r="27" spans="1:26" ht="24" customHeight="1" x14ac:dyDescent="0.4">
      <c r="A27" s="184" t="s">
        <v>282</v>
      </c>
      <c r="D27" s="16"/>
      <c r="E27" s="18"/>
      <c r="T27" s="16"/>
      <c r="U27" s="16"/>
    </row>
    <row r="28" spans="1:26" ht="21" x14ac:dyDescent="0.4">
      <c r="A28" s="80" t="s">
        <v>276</v>
      </c>
      <c r="E28" s="23" t="s">
        <v>245</v>
      </c>
      <c r="F28" s="23" t="s">
        <v>246</v>
      </c>
      <c r="T28" s="66" t="str">
        <f>$A$20</f>
        <v>5-ÓTIMO</v>
      </c>
      <c r="U28" s="145">
        <f>(COUNTIFS('2-Autoavaliacao-Discente-Egress'!C$2:C$33,5)+COUNTIFS('2-Autoavaliacao-Discente-Egress'!C$50:C$85,5))/$A$16</f>
        <v>0.5757575757575758</v>
      </c>
    </row>
    <row r="29" spans="1:26" ht="18" customHeight="1" x14ac:dyDescent="0.25">
      <c r="A29" s="178">
        <f>'2-Autoavaliacao-Discente-Egress'!A43</f>
        <v>31</v>
      </c>
      <c r="D29" s="66" t="str">
        <f>$A$20</f>
        <v>5-ÓTIMO</v>
      </c>
      <c r="E29" s="24">
        <f>'2-Autoavaliacao-Discente-Egress'!D36</f>
        <v>0.61290322580645162</v>
      </c>
      <c r="F29" s="25">
        <f>'2-Autoavaliacao-Discente-Egress'!D91</f>
        <v>0.82857142857142863</v>
      </c>
      <c r="T29" s="67" t="str">
        <f>$A$21</f>
        <v>4-MUITO BOM</v>
      </c>
      <c r="U29" s="146">
        <f>(COUNTIFS('2-Autoavaliacao-Discente-Egress'!C$2:C$33,4)+COUNTIFS('2-Autoavaliacao-Discente-Egress'!C$50:C$85,4))/$A$16</f>
        <v>0.22727272727272727</v>
      </c>
    </row>
    <row r="30" spans="1:26" ht="19.95" customHeight="1" x14ac:dyDescent="0.25">
      <c r="A30" s="158">
        <f>A29/(A29+A32)</f>
        <v>0.46969696969696972</v>
      </c>
      <c r="D30" s="67" t="str">
        <f>$A$21</f>
        <v>4-MUITO BOM</v>
      </c>
      <c r="E30" s="26">
        <f>'2-Autoavaliacao-Discente-Egress'!D37</f>
        <v>0.19354838709677419</v>
      </c>
      <c r="F30" s="27">
        <f>'2-Autoavaliacao-Discente-Egress'!D92</f>
        <v>5.7142857142857141E-2</v>
      </c>
      <c r="T30" s="67" t="str">
        <f>$A$22</f>
        <v>3-BOM</v>
      </c>
      <c r="U30" s="146">
        <f>(COUNTIFS('2-Autoavaliacao-Discente-Egress'!C$2:C$33,3)+COUNTIFS('2-Autoavaliacao-Discente-Egress'!C$50:C$85,3))/$A$16</f>
        <v>0.10606060606060606</v>
      </c>
    </row>
    <row r="31" spans="1:26" ht="21" x14ac:dyDescent="0.4">
      <c r="A31" s="81" t="s">
        <v>275</v>
      </c>
      <c r="B31" s="124"/>
      <c r="D31" s="67" t="str">
        <f>$A$22</f>
        <v>3-BOM</v>
      </c>
      <c r="E31" s="26">
        <f>'2-Autoavaliacao-Discente-Egress'!D38</f>
        <v>6.4516129032258063E-2</v>
      </c>
      <c r="F31" s="27">
        <f>'2-Autoavaliacao-Discente-Egress'!D93</f>
        <v>0</v>
      </c>
      <c r="T31" s="67" t="str">
        <f>$A$23</f>
        <v>2-REGULAR</v>
      </c>
      <c r="U31" s="146">
        <f>(COUNTIFS('2-Autoavaliacao-Discente-Egress'!C$2:C$33,2)+COUNTIFS('2-Autoavaliacao-Discente-Egress'!C$50:C$85,2))/$A$16</f>
        <v>4.5454545454545456E-2</v>
      </c>
    </row>
    <row r="32" spans="1:26" ht="19.95" customHeight="1" x14ac:dyDescent="0.25">
      <c r="A32" s="178">
        <f>'2-Autoavaliacao-Discente-Egress'!A99</f>
        <v>35</v>
      </c>
      <c r="D32" s="67" t="str">
        <f>$A$23</f>
        <v>2-REGULAR</v>
      </c>
      <c r="E32" s="26">
        <f>'2-Autoavaliacao-Discente-Egress'!D39</f>
        <v>6.4516129032258063E-2</v>
      </c>
      <c r="F32" s="27">
        <f>'2-Autoavaliacao-Discente-Egress'!D94</f>
        <v>5.7142857142857141E-2</v>
      </c>
      <c r="T32" s="67" t="str">
        <f>$A$24</f>
        <v>1-RUIM</v>
      </c>
      <c r="U32" s="146">
        <f>(COUNTIFS('2-Autoavaliacao-Discente-Egress'!C$2:C$33,1)+COUNTIFS('2-Autoavaliacao-Discente-Egress'!C$50:C$85,1))/$A$16</f>
        <v>3.0303030303030304E-2</v>
      </c>
    </row>
    <row r="33" spans="1:26" ht="19.5" customHeight="1" x14ac:dyDescent="0.25">
      <c r="A33" s="154">
        <f>A32/(A29+A32)</f>
        <v>0.53030303030303028</v>
      </c>
      <c r="D33" s="67" t="str">
        <f>$A$24</f>
        <v>1-RUIM</v>
      </c>
      <c r="E33" s="26">
        <f>'2-Autoavaliacao-Discente-Egress'!D40</f>
        <v>3.2258064516129031E-2</v>
      </c>
      <c r="F33" s="27">
        <f>'2-Autoavaliacao-Discente-Egress'!D95</f>
        <v>2.8571428571428571E-2</v>
      </c>
      <c r="T33" s="68" t="str">
        <f>$A$25</f>
        <v>0-NÃO SE APLICA</v>
      </c>
      <c r="U33" s="147">
        <f>(COUNTIFS('2-Autoavaliacao-Discente-Egress'!C$2:C$33,0)+COUNTIFS('2-Autoavaliacao-Discente-Egress'!C$50:C$85,0))/$A$16</f>
        <v>1.5151515151515152E-2</v>
      </c>
    </row>
    <row r="34" spans="1:26" ht="17.399999999999999" x14ac:dyDescent="0.3">
      <c r="A34" s="155" t="s">
        <v>246</v>
      </c>
      <c r="B34" s="33"/>
      <c r="D34" s="68" t="str">
        <f>$A$25</f>
        <v>0-NÃO SE APLICA</v>
      </c>
      <c r="E34" s="28">
        <f>'2-Autoavaliacao-Discente-Egress'!D41</f>
        <v>3.2258064516129031E-2</v>
      </c>
      <c r="F34" s="29">
        <f>'2-Autoavaliacao-Discente-Egress'!D96</f>
        <v>2.8571428571428571E-2</v>
      </c>
      <c r="P34" s="18"/>
    </row>
    <row r="35" spans="1:26" ht="17.399999999999999" x14ac:dyDescent="0.3">
      <c r="A35" s="155" t="s">
        <v>245</v>
      </c>
      <c r="B35" s="33"/>
      <c r="P35" s="21"/>
      <c r="T35" s="79" t="str">
        <f>T26</f>
        <v>QUESTÃO 02</v>
      </c>
      <c r="U35" s="113" t="s">
        <v>255</v>
      </c>
    </row>
    <row r="36" spans="1:26" ht="15.6" x14ac:dyDescent="0.3">
      <c r="A36" s="44"/>
      <c r="D36" s="112"/>
      <c r="E36" s="113" t="s">
        <v>245</v>
      </c>
      <c r="F36" s="113" t="s">
        <v>246</v>
      </c>
      <c r="G36" s="75" t="s">
        <v>251</v>
      </c>
      <c r="O36" s="16"/>
      <c r="P36" s="18"/>
      <c r="T36" s="121" t="str">
        <f>'Dashboard-1-AVALIAÇÃO INST.'!$A$29</f>
        <v>MUITO BOM / ÓTIMO</v>
      </c>
      <c r="U36" s="99">
        <f>U28+U29</f>
        <v>0.80303030303030309</v>
      </c>
    </row>
    <row r="37" spans="1:26" ht="15.6" x14ac:dyDescent="0.3">
      <c r="A37" s="44"/>
      <c r="D37" s="121" t="str">
        <f>'Dashboard-1-AVALIAÇÃO INST.'!$A$29</f>
        <v>MUITO BOM / ÓTIMO</v>
      </c>
      <c r="E37" s="119">
        <f>E29+E30</f>
        <v>0.80645161290322576</v>
      </c>
      <c r="F37" s="99">
        <f>F29+F30</f>
        <v>0.88571428571428579</v>
      </c>
      <c r="G37" s="34">
        <f>(F37-E37)*100</f>
        <v>7.9262672811060035</v>
      </c>
      <c r="O37" s="16"/>
      <c r="P37" s="18"/>
      <c r="T37" s="122" t="str">
        <f>'Dashboard-1-AVALIAÇÃO INST.'!$A$30</f>
        <v>BOM</v>
      </c>
      <c r="U37" s="101">
        <f>U30</f>
        <v>0.10606060606060606</v>
      </c>
    </row>
    <row r="38" spans="1:26" ht="15.6" x14ac:dyDescent="0.3">
      <c r="A38" s="44"/>
      <c r="D38" s="122" t="str">
        <f>'Dashboard-1-AVALIAÇÃO INST.'!$A$30</f>
        <v>BOM</v>
      </c>
      <c r="E38" s="107">
        <f>E31</f>
        <v>6.4516129032258063E-2</v>
      </c>
      <c r="F38" s="101">
        <f>F31</f>
        <v>0</v>
      </c>
      <c r="G38" s="34">
        <f>(F38-E38)*100</f>
        <v>-6.4516129032258061</v>
      </c>
      <c r="O38" s="16"/>
      <c r="P38" s="18"/>
      <c r="T38" s="122" t="str">
        <f>'Dashboard-1-AVALIAÇÃO INST.'!$A$31</f>
        <v>RUIM / REGULAR</v>
      </c>
      <c r="U38" s="101">
        <f>U31+U32</f>
        <v>7.575757575757576E-2</v>
      </c>
    </row>
    <row r="39" spans="1:26" ht="15.6" x14ac:dyDescent="0.3">
      <c r="A39" s="44"/>
      <c r="D39" s="122" t="str">
        <f>'Dashboard-1-AVALIAÇÃO INST.'!$A$31</f>
        <v>RUIM / REGULAR</v>
      </c>
      <c r="E39" s="107">
        <f>E32+E33</f>
        <v>9.6774193548387094E-2</v>
      </c>
      <c r="F39" s="101">
        <f>F32+F33</f>
        <v>8.5714285714285715E-2</v>
      </c>
      <c r="G39" s="34">
        <f>(F39-E39)*100</f>
        <v>-1.1059907834101379</v>
      </c>
      <c r="O39" s="16"/>
      <c r="P39" s="18"/>
      <c r="T39" s="123" t="str">
        <f>'Dashboard-1-AVALIAÇÃO INST.'!$A$32</f>
        <v>NÃO SE APLICA / NÃO SEI</v>
      </c>
      <c r="U39" s="103">
        <f>U33</f>
        <v>1.5151515151515152E-2</v>
      </c>
    </row>
    <row r="40" spans="1:26" ht="15.6" x14ac:dyDescent="0.3">
      <c r="A40" s="44"/>
      <c r="D40" s="123" t="str">
        <f>'Dashboard-1-AVALIAÇÃO INST.'!$A$32</f>
        <v>NÃO SE APLICA / NÃO SEI</v>
      </c>
      <c r="E40" s="120">
        <f>E34</f>
        <v>3.2258064516129031E-2</v>
      </c>
      <c r="F40" s="103">
        <f>F34</f>
        <v>2.8571428571428571E-2</v>
      </c>
      <c r="G40" s="34">
        <f>(F40-E40)*100</f>
        <v>-0.3686635944700461</v>
      </c>
      <c r="O40" s="16"/>
      <c r="P40" s="18"/>
      <c r="T40" s="105">
        <f>(SUM(U36:U39))</f>
        <v>1.0000000000000002</v>
      </c>
      <c r="U40" s="106" t="str">
        <f>IF(T40=100%, "CORRETO","ERRO")</f>
        <v>CORRETO</v>
      </c>
    </row>
    <row r="41" spans="1:26" ht="15.6" x14ac:dyDescent="0.3">
      <c r="A41" s="44"/>
      <c r="D41" s="105">
        <f>(SUM(E37:E40))</f>
        <v>0.99999999999999989</v>
      </c>
      <c r="E41" s="106" t="str">
        <f>IF(D41=100%, "CORRETO","ERRO")</f>
        <v>CORRETO</v>
      </c>
      <c r="F41" s="106" t="str">
        <f>IF(D42=100%, "CORRETO","ERRO")</f>
        <v>CORRETO</v>
      </c>
      <c r="O41" s="16"/>
      <c r="P41" s="18"/>
    </row>
    <row r="42" spans="1:26" ht="15" x14ac:dyDescent="0.25">
      <c r="A42" s="44"/>
      <c r="D42" s="105">
        <f>(SUM(F37:F40))</f>
        <v>1</v>
      </c>
    </row>
    <row r="43" spans="1:26" ht="30" x14ac:dyDescent="0.25">
      <c r="A43" s="44"/>
      <c r="E43" s="22"/>
      <c r="F43" s="22"/>
      <c r="G43" s="22"/>
      <c r="H43" s="22"/>
      <c r="I43" s="22"/>
      <c r="J43" s="22"/>
      <c r="K43" s="22"/>
      <c r="L43" s="22"/>
      <c r="M43" s="22"/>
      <c r="N43" s="22"/>
      <c r="Q43" s="22"/>
      <c r="R43" s="22"/>
      <c r="S43" s="22"/>
      <c r="T43" s="22"/>
      <c r="U43" s="22"/>
      <c r="V43" s="22"/>
      <c r="W43" s="22"/>
      <c r="X43" s="22"/>
      <c r="Y43" s="22"/>
      <c r="Z43" s="22"/>
    </row>
    <row r="44" spans="1:26" x14ac:dyDescent="0.25">
      <c r="A44" s="44"/>
    </row>
    <row r="45" spans="1:26" ht="17.399999999999999" x14ac:dyDescent="0.3">
      <c r="A45" s="44"/>
      <c r="D45" s="16"/>
      <c r="E45" s="32" t="s">
        <v>273</v>
      </c>
      <c r="F45" s="17" t="str">
        <f>'2-Autoavaliacao-Discente-Egress'!E1</f>
        <v>03- Os equipamentos e os insumos necessários para a realização do seu tema de pesquisa foram disponibilizados pelo seu orientador ?</v>
      </c>
      <c r="T45" s="36" t="str">
        <f>E45</f>
        <v>QUESTÃO 03</v>
      </c>
      <c r="U45" s="117"/>
    </row>
    <row r="46" spans="1:26" ht="15.6" x14ac:dyDescent="0.3">
      <c r="A46" s="44"/>
      <c r="D46" s="16"/>
      <c r="E46" s="18"/>
      <c r="T46" s="16"/>
      <c r="U46" s="16"/>
    </row>
    <row r="47" spans="1:26" ht="15.6" x14ac:dyDescent="0.3">
      <c r="A47" s="44"/>
      <c r="E47" s="23" t="s">
        <v>245</v>
      </c>
      <c r="F47" s="23" t="s">
        <v>246</v>
      </c>
      <c r="T47" s="66" t="str">
        <f>$A$20</f>
        <v>5-ÓTIMO</v>
      </c>
      <c r="U47" s="145">
        <f>(COUNTIFS('2-Autoavaliacao-Discente-Egress'!C$2:C$33,5)+COUNTIFS('2-Autoavaliacao-Discente-Egress'!C$50:C$85,5))/$A$16</f>
        <v>0.5757575757575758</v>
      </c>
    </row>
    <row r="48" spans="1:26" ht="15" x14ac:dyDescent="0.25">
      <c r="A48" s="44"/>
      <c r="D48" s="66" t="str">
        <f>$A$20</f>
        <v>5-ÓTIMO</v>
      </c>
      <c r="E48" s="24">
        <f>'2-Autoavaliacao-Discente-Egress'!E36</f>
        <v>0.61290322580645162</v>
      </c>
      <c r="F48" s="25">
        <f>'2-Autoavaliacao-Discente-Egress'!E91</f>
        <v>0.7142857142857143</v>
      </c>
      <c r="T48" s="67" t="str">
        <f>$A$21</f>
        <v>4-MUITO BOM</v>
      </c>
      <c r="U48" s="146">
        <f>(COUNTIFS('2-Autoavaliacao-Discente-Egress'!C$2:C$33,4)+COUNTIFS('2-Autoavaliacao-Discente-Egress'!C$50:C$85,4))/$A$16</f>
        <v>0.22727272727272727</v>
      </c>
    </row>
    <row r="49" spans="1:26" ht="15" x14ac:dyDescent="0.25">
      <c r="A49" s="44"/>
      <c r="D49" s="67" t="str">
        <f>$A$21</f>
        <v>4-MUITO BOM</v>
      </c>
      <c r="E49" s="26">
        <f>'2-Autoavaliacao-Discente-Egress'!E37</f>
        <v>0.12903225806451613</v>
      </c>
      <c r="F49" s="27">
        <f>'2-Autoavaliacao-Discente-Egress'!E92</f>
        <v>0.17142857142857143</v>
      </c>
      <c r="T49" s="67" t="str">
        <f>$A$22</f>
        <v>3-BOM</v>
      </c>
      <c r="U49" s="146">
        <f>(COUNTIFS('2-Autoavaliacao-Discente-Egress'!C$2:C$33,3)+COUNTIFS('2-Autoavaliacao-Discente-Egress'!C$50:C$85,3))/$A$16</f>
        <v>0.10606060606060606</v>
      </c>
    </row>
    <row r="50" spans="1:26" ht="15" x14ac:dyDescent="0.25">
      <c r="A50" s="44"/>
      <c r="D50" s="67" t="str">
        <f>$A$22</f>
        <v>3-BOM</v>
      </c>
      <c r="E50" s="26">
        <f>'2-Autoavaliacao-Discente-Egress'!E38</f>
        <v>0.22580645161290322</v>
      </c>
      <c r="F50" s="27">
        <f>'2-Autoavaliacao-Discente-Egress'!E93</f>
        <v>8.5714285714285715E-2</v>
      </c>
      <c r="T50" s="67" t="str">
        <f>$A$23</f>
        <v>2-REGULAR</v>
      </c>
      <c r="U50" s="146">
        <f>(COUNTIFS('2-Autoavaliacao-Discente-Egress'!C$2:C$33,2)+COUNTIFS('2-Autoavaliacao-Discente-Egress'!C$50:C$85,2))/$A$16</f>
        <v>4.5454545454545456E-2</v>
      </c>
    </row>
    <row r="51" spans="1:26" ht="15" x14ac:dyDescent="0.25">
      <c r="A51" s="44"/>
      <c r="D51" s="67" t="str">
        <f>$A$23</f>
        <v>2-REGULAR</v>
      </c>
      <c r="E51" s="26">
        <f>'2-Autoavaliacao-Discente-Egress'!E39</f>
        <v>3.2258064516129031E-2</v>
      </c>
      <c r="F51" s="27">
        <f>'2-Autoavaliacao-Discente-Egress'!E94</f>
        <v>0</v>
      </c>
      <c r="T51" s="67" t="str">
        <f>$A$24</f>
        <v>1-RUIM</v>
      </c>
      <c r="U51" s="146">
        <f>(COUNTIFS('2-Autoavaliacao-Discente-Egress'!C$2:C$33,1)+COUNTIFS('2-Autoavaliacao-Discente-Egress'!C$50:C$85,1))/$A$16</f>
        <v>3.0303030303030304E-2</v>
      </c>
    </row>
    <row r="52" spans="1:26" ht="15" x14ac:dyDescent="0.25">
      <c r="A52" s="44"/>
      <c r="D52" s="67" t="str">
        <f>$A$24</f>
        <v>1-RUIM</v>
      </c>
      <c r="E52" s="26">
        <f>'2-Autoavaliacao-Discente-Egress'!E40</f>
        <v>0</v>
      </c>
      <c r="F52" s="27">
        <f>'2-Autoavaliacao-Discente-Egress'!E95</f>
        <v>0</v>
      </c>
      <c r="T52" s="68" t="str">
        <f>$A$25</f>
        <v>0-NÃO SE APLICA</v>
      </c>
      <c r="U52" s="147">
        <f>(COUNTIFS('2-Autoavaliacao-Discente-Egress'!C$2:C$33,0)+COUNTIFS('2-Autoavaliacao-Discente-Egress'!C$50:C$85,0))/$A$16</f>
        <v>1.5151515151515152E-2</v>
      </c>
    </row>
    <row r="53" spans="1:26" ht="15.6" x14ac:dyDescent="0.3">
      <c r="A53" s="209">
        <f>((A32*1)/A29)-1</f>
        <v>0.12903225806451624</v>
      </c>
      <c r="D53" s="68" t="str">
        <f>$A$25</f>
        <v>0-NÃO SE APLICA</v>
      </c>
      <c r="E53" s="28">
        <f>'2-Autoavaliacao-Discente-Egress'!E41</f>
        <v>0</v>
      </c>
      <c r="F53" s="29">
        <f>'2-Autoavaliacao-Discente-Egress'!E96</f>
        <v>2.8571428571428571E-2</v>
      </c>
      <c r="P53" s="18"/>
    </row>
    <row r="54" spans="1:26" ht="15.6" x14ac:dyDescent="0.3">
      <c r="A54" s="210"/>
      <c r="D54" s="20" t="str">
        <f>IF(D55=100%,"Verificado!","ERRO!")</f>
        <v>ERRO!</v>
      </c>
      <c r="E54" s="18"/>
      <c r="P54" s="21"/>
      <c r="T54" s="79" t="str">
        <f>T45</f>
        <v>QUESTÃO 03</v>
      </c>
      <c r="U54" s="113" t="s">
        <v>255</v>
      </c>
    </row>
    <row r="55" spans="1:26" ht="15.6" x14ac:dyDescent="0.3">
      <c r="A55" s="44"/>
      <c r="D55" s="112"/>
      <c r="E55" s="113" t="s">
        <v>245</v>
      </c>
      <c r="F55" s="113" t="s">
        <v>246</v>
      </c>
      <c r="G55" s="75" t="s">
        <v>251</v>
      </c>
      <c r="O55" s="16"/>
      <c r="P55" s="18"/>
      <c r="T55" s="121" t="str">
        <f>'Dashboard-1-AVALIAÇÃO INST.'!$A$29</f>
        <v>MUITO BOM / ÓTIMO</v>
      </c>
      <c r="U55" s="99">
        <f>U47+U48</f>
        <v>0.80303030303030309</v>
      </c>
    </row>
    <row r="56" spans="1:26" ht="15.6" x14ac:dyDescent="0.3">
      <c r="A56" s="44"/>
      <c r="D56" s="121" t="str">
        <f>'Dashboard-1-AVALIAÇÃO INST.'!$A$29</f>
        <v>MUITO BOM / ÓTIMO</v>
      </c>
      <c r="E56" s="119">
        <f>E48+E49</f>
        <v>0.74193548387096775</v>
      </c>
      <c r="F56" s="99">
        <f>F48+F49</f>
        <v>0.88571428571428568</v>
      </c>
      <c r="G56" s="34">
        <f>(F56-E56)*100</f>
        <v>14.377880184331794</v>
      </c>
      <c r="O56" s="16"/>
      <c r="P56" s="18"/>
      <c r="T56" s="122" t="str">
        <f>'Dashboard-1-AVALIAÇÃO INST.'!$A$30</f>
        <v>BOM</v>
      </c>
      <c r="U56" s="101">
        <f>U49</f>
        <v>0.10606060606060606</v>
      </c>
    </row>
    <row r="57" spans="1:26" ht="21" x14ac:dyDescent="0.4">
      <c r="A57" s="157" t="s">
        <v>310</v>
      </c>
      <c r="D57" s="122" t="str">
        <f>'Dashboard-1-AVALIAÇÃO INST.'!$A$30</f>
        <v>BOM</v>
      </c>
      <c r="E57" s="107">
        <f>E50</f>
        <v>0.22580645161290322</v>
      </c>
      <c r="F57" s="101">
        <f>F50</f>
        <v>8.5714285714285715E-2</v>
      </c>
      <c r="G57" s="34">
        <f>(F57-E57)*100</f>
        <v>-14.009216589861751</v>
      </c>
      <c r="O57" s="16"/>
      <c r="P57" s="18"/>
      <c r="T57" s="122" t="str">
        <f>'Dashboard-1-AVALIAÇÃO INST.'!$A$31</f>
        <v>RUIM / REGULAR</v>
      </c>
      <c r="U57" s="101">
        <f>U50+U51</f>
        <v>7.575757575757576E-2</v>
      </c>
    </row>
    <row r="58" spans="1:26" ht="15.6" x14ac:dyDescent="0.3">
      <c r="D58" s="122" t="str">
        <f>'Dashboard-1-AVALIAÇÃO INST.'!$A$31</f>
        <v>RUIM / REGULAR</v>
      </c>
      <c r="E58" s="107">
        <f>E51+E52</f>
        <v>3.2258064516129031E-2</v>
      </c>
      <c r="F58" s="101">
        <f>F51+F52</f>
        <v>0</v>
      </c>
      <c r="G58" s="34">
        <f>(F58-E58)*100</f>
        <v>-3.225806451612903</v>
      </c>
      <c r="O58" s="16"/>
      <c r="P58" s="18"/>
      <c r="T58" s="123" t="str">
        <f>'Dashboard-1-AVALIAÇÃO INST.'!$A$32</f>
        <v>NÃO SE APLICA / NÃO SEI</v>
      </c>
      <c r="U58" s="103">
        <f>U52</f>
        <v>1.5151515151515152E-2</v>
      </c>
    </row>
    <row r="59" spans="1:26" ht="15.6" x14ac:dyDescent="0.3">
      <c r="A59" s="53" t="s">
        <v>30</v>
      </c>
      <c r="B59" s="52">
        <f>COUNTIF('2-Autoavaliacao-Discente-Egress'!B$2:B$33,"DISCENTE")+COUNTIF('2-Autoavaliacao-Discente-Egress'!B$50:B$86,"DISCENTE")</f>
        <v>24</v>
      </c>
      <c r="D59" s="123" t="str">
        <f>'Dashboard-1-AVALIAÇÃO INST.'!$A$32</f>
        <v>NÃO SE APLICA / NÃO SEI</v>
      </c>
      <c r="E59" s="120">
        <f>E53</f>
        <v>0</v>
      </c>
      <c r="F59" s="103">
        <f>F53</f>
        <v>2.8571428571428571E-2</v>
      </c>
      <c r="G59" s="34">
        <f>(F59-E59)*100</f>
        <v>2.8571428571428572</v>
      </c>
      <c r="O59" s="16"/>
      <c r="P59" s="18"/>
      <c r="T59" s="105">
        <f>(SUM(U55:U58))</f>
        <v>1.0000000000000002</v>
      </c>
      <c r="U59" s="106" t="str">
        <f>IF(T59=100%, "CORRETO","ERRO")</f>
        <v>CORRETO</v>
      </c>
    </row>
    <row r="60" spans="1:26" ht="15.6" x14ac:dyDescent="0.3">
      <c r="A60" s="53" t="s">
        <v>74</v>
      </c>
      <c r="B60" s="52">
        <f>COUNTIF('2-Autoavaliacao-Discente-Egress'!B$2:B$33,"EGRESSO")+COUNTIF('2-Autoavaliacao-Discente-Egress'!B$50:B$86,"EGRESSO")</f>
        <v>42</v>
      </c>
      <c r="D60" s="105">
        <f>(SUM(E56:E59))</f>
        <v>1</v>
      </c>
      <c r="E60" s="106" t="str">
        <f>IF(D60=100%, "CORRETO","ERRO")</f>
        <v>CORRETO</v>
      </c>
      <c r="F60" s="106" t="str">
        <f>IF(D61=100%, "CORRETO","ERRO")</f>
        <v>CORRETO</v>
      </c>
      <c r="O60" s="16"/>
      <c r="P60" s="18"/>
    </row>
    <row r="61" spans="1:26" ht="15" x14ac:dyDescent="0.25">
      <c r="A61" s="46"/>
      <c r="C61" s="58"/>
      <c r="D61" s="105">
        <f>(SUM(F56:F59))</f>
        <v>1</v>
      </c>
    </row>
    <row r="62" spans="1:26" ht="16.95" customHeight="1" x14ac:dyDescent="0.25">
      <c r="A62" s="156">
        <f>B59/$A$64</f>
        <v>0.36363636363636365</v>
      </c>
      <c r="C62" s="60"/>
      <c r="E62" s="22"/>
      <c r="F62" s="22"/>
      <c r="G62" s="22"/>
      <c r="H62" s="22"/>
      <c r="I62" s="22"/>
      <c r="J62" s="22"/>
      <c r="K62" s="22"/>
      <c r="L62" s="22"/>
      <c r="M62" s="22"/>
      <c r="N62" s="22"/>
      <c r="Q62" s="22"/>
      <c r="R62" s="22"/>
      <c r="S62" s="22"/>
      <c r="T62" s="22"/>
      <c r="U62" s="22"/>
      <c r="V62" s="22"/>
      <c r="W62" s="22"/>
      <c r="X62" s="22"/>
      <c r="Y62" s="22"/>
      <c r="Z62" s="22"/>
    </row>
    <row r="63" spans="1:26" ht="15" x14ac:dyDescent="0.25">
      <c r="A63" s="156">
        <f>B60/$A$64</f>
        <v>0.63636363636363635</v>
      </c>
      <c r="B63" s="65"/>
      <c r="C63" s="65"/>
    </row>
    <row r="64" spans="1:26" ht="15" x14ac:dyDescent="0.25">
      <c r="A64" s="60">
        <f>SUM(B58:B60)</f>
        <v>66</v>
      </c>
    </row>
    <row r="65" spans="1:21" x14ac:dyDescent="0.25">
      <c r="A65" s="59"/>
    </row>
    <row r="66" spans="1:21" x14ac:dyDescent="0.25">
      <c r="A66" s="44"/>
    </row>
    <row r="67" spans="1:21" ht="17.399999999999999" x14ac:dyDescent="0.3">
      <c r="A67" s="44"/>
      <c r="D67" s="16"/>
      <c r="E67" s="32" t="s">
        <v>274</v>
      </c>
      <c r="F67" s="17" t="str">
        <f>'2-Autoavaliacao-Discente-Egress'!F1</f>
        <v>04- Seu orientador o incentivou a realizar estágio de docência ?</v>
      </c>
      <c r="T67" s="36" t="str">
        <f>E67</f>
        <v>QUESTÃO 04</v>
      </c>
      <c r="U67" s="117"/>
    </row>
    <row r="68" spans="1:21" ht="15.6" x14ac:dyDescent="0.3">
      <c r="A68" s="44"/>
      <c r="D68" s="16"/>
      <c r="E68" s="18"/>
      <c r="T68" s="16"/>
      <c r="U68" s="16"/>
    </row>
    <row r="69" spans="1:21" ht="15.6" x14ac:dyDescent="0.3">
      <c r="A69" s="44"/>
      <c r="E69" s="23" t="s">
        <v>245</v>
      </c>
      <c r="F69" s="23" t="s">
        <v>246</v>
      </c>
      <c r="T69" s="66" t="str">
        <f>$A$20</f>
        <v>5-ÓTIMO</v>
      </c>
      <c r="U69" s="145">
        <f>(COUNTIFS('2-Autoavaliacao-Discente-Egress'!C$2:C$33,5)+COUNTIFS('2-Autoavaliacao-Discente-Egress'!C$50:C$85,5))/$A$16</f>
        <v>0.5757575757575758</v>
      </c>
    </row>
    <row r="70" spans="1:21" ht="15" x14ac:dyDescent="0.25">
      <c r="A70" s="44"/>
      <c r="D70" s="66" t="str">
        <f>$A$20</f>
        <v>5-ÓTIMO</v>
      </c>
      <c r="E70" s="24">
        <f>'2-Autoavaliacao-Discente-Egress'!F36</f>
        <v>0.35483870967741937</v>
      </c>
      <c r="F70" s="25">
        <f>'2-Autoavaliacao-Discente-Egress'!F91</f>
        <v>0.37142857142857144</v>
      </c>
      <c r="T70" s="67" t="str">
        <f>$A$21</f>
        <v>4-MUITO BOM</v>
      </c>
      <c r="U70" s="146">
        <f>(COUNTIFS('2-Autoavaliacao-Discente-Egress'!C$2:C$33,4)+COUNTIFS('2-Autoavaliacao-Discente-Egress'!C$50:C$85,4))/$A$16</f>
        <v>0.22727272727272727</v>
      </c>
    </row>
    <row r="71" spans="1:21" ht="15" x14ac:dyDescent="0.25">
      <c r="A71" s="44"/>
      <c r="D71" s="67" t="str">
        <f>$A$21</f>
        <v>4-MUITO BOM</v>
      </c>
      <c r="E71" s="26">
        <f>'2-Autoavaliacao-Discente-Egress'!F37</f>
        <v>6.4516129032258063E-2</v>
      </c>
      <c r="F71" s="27">
        <f>'2-Autoavaliacao-Discente-Egress'!F92</f>
        <v>0.17142857142857143</v>
      </c>
      <c r="T71" s="67" t="str">
        <f>$A$22</f>
        <v>3-BOM</v>
      </c>
      <c r="U71" s="146">
        <f>(COUNTIFS('2-Autoavaliacao-Discente-Egress'!C$2:C$33,3)+COUNTIFS('2-Autoavaliacao-Discente-Egress'!C$50:C$85,3))/$A$16</f>
        <v>0.10606060606060606</v>
      </c>
    </row>
    <row r="72" spans="1:21" ht="15" x14ac:dyDescent="0.25">
      <c r="A72" s="44"/>
      <c r="D72" s="67" t="str">
        <f>$A$22</f>
        <v>3-BOM</v>
      </c>
      <c r="E72" s="26">
        <f>'2-Autoavaliacao-Discente-Egress'!F38</f>
        <v>0.12903225806451613</v>
      </c>
      <c r="F72" s="27">
        <f>'2-Autoavaliacao-Discente-Egress'!F93</f>
        <v>0.11428571428571428</v>
      </c>
      <c r="T72" s="67" t="str">
        <f>$A$23</f>
        <v>2-REGULAR</v>
      </c>
      <c r="U72" s="146">
        <f>(COUNTIFS('2-Autoavaliacao-Discente-Egress'!C$2:C$33,2)+COUNTIFS('2-Autoavaliacao-Discente-Egress'!C$50:C$85,2))/$A$16</f>
        <v>4.5454545454545456E-2</v>
      </c>
    </row>
    <row r="73" spans="1:21" ht="15" x14ac:dyDescent="0.25">
      <c r="A73" s="44"/>
      <c r="D73" s="67" t="str">
        <f>$A$23</f>
        <v>2-REGULAR</v>
      </c>
      <c r="E73" s="26">
        <f>'2-Autoavaliacao-Discente-Egress'!F39</f>
        <v>9.6774193548387094E-2</v>
      </c>
      <c r="F73" s="27">
        <f>'2-Autoavaliacao-Discente-Egress'!F94</f>
        <v>5.7142857142857141E-2</v>
      </c>
      <c r="T73" s="67" t="str">
        <f>$A$24</f>
        <v>1-RUIM</v>
      </c>
      <c r="U73" s="146">
        <f>(COUNTIFS('2-Autoavaliacao-Discente-Egress'!C$2:C$33,1)+COUNTIFS('2-Autoavaliacao-Discente-Egress'!C$50:C$85,1))/$A$16</f>
        <v>3.0303030303030304E-2</v>
      </c>
    </row>
    <row r="74" spans="1:21" ht="15" x14ac:dyDescent="0.25">
      <c r="A74" s="44"/>
      <c r="D74" s="67" t="str">
        <f>$A$24</f>
        <v>1-RUIM</v>
      </c>
      <c r="E74" s="26">
        <f>'2-Autoavaliacao-Discente-Egress'!F40</f>
        <v>6.4516129032258063E-2</v>
      </c>
      <c r="F74" s="27">
        <f>'2-Autoavaliacao-Discente-Egress'!F95</f>
        <v>5.7142857142857141E-2</v>
      </c>
      <c r="T74" s="68" t="str">
        <f>$A$25</f>
        <v>0-NÃO SE APLICA</v>
      </c>
      <c r="U74" s="147">
        <f>(COUNTIFS('2-Autoavaliacao-Discente-Egress'!C$2:C$33,0)+COUNTIFS('2-Autoavaliacao-Discente-Egress'!C$50:C$85,0))/$A$16</f>
        <v>1.5151515151515152E-2</v>
      </c>
    </row>
    <row r="75" spans="1:21" ht="15.6" x14ac:dyDescent="0.3">
      <c r="A75" s="44"/>
      <c r="D75" s="68" t="str">
        <f>$A$25</f>
        <v>0-NÃO SE APLICA</v>
      </c>
      <c r="E75" s="28">
        <f>'2-Autoavaliacao-Discente-Egress'!F41</f>
        <v>0.29032258064516131</v>
      </c>
      <c r="F75" s="29">
        <f>'2-Autoavaliacao-Discente-Egress'!F96</f>
        <v>0.22857142857142856</v>
      </c>
      <c r="P75" s="18"/>
    </row>
    <row r="76" spans="1:21" ht="15.6" x14ac:dyDescent="0.3">
      <c r="A76" s="44"/>
      <c r="P76" s="21"/>
      <c r="T76" s="79" t="str">
        <f>T67</f>
        <v>QUESTÃO 04</v>
      </c>
      <c r="U76" s="113" t="s">
        <v>255</v>
      </c>
    </row>
    <row r="77" spans="1:21" ht="15.6" x14ac:dyDescent="0.3">
      <c r="A77" s="44"/>
      <c r="D77" s="112"/>
      <c r="E77" s="113" t="s">
        <v>245</v>
      </c>
      <c r="F77" s="113" t="s">
        <v>246</v>
      </c>
      <c r="G77" s="75" t="s">
        <v>251</v>
      </c>
      <c r="O77" s="16"/>
      <c r="P77" s="18"/>
      <c r="T77" s="121" t="str">
        <f>'Dashboard-1-AVALIAÇÃO INST.'!$A$29</f>
        <v>MUITO BOM / ÓTIMO</v>
      </c>
      <c r="U77" s="99">
        <f>U69+U70</f>
        <v>0.80303030303030309</v>
      </c>
    </row>
    <row r="78" spans="1:21" ht="15.6" x14ac:dyDescent="0.3">
      <c r="A78" s="44"/>
      <c r="D78" s="121" t="str">
        <f>'Dashboard-1-AVALIAÇÃO INST.'!$A$29</f>
        <v>MUITO BOM / ÓTIMO</v>
      </c>
      <c r="E78" s="119">
        <f>E70+E71</f>
        <v>0.41935483870967744</v>
      </c>
      <c r="F78" s="99">
        <f>F70+F71</f>
        <v>0.54285714285714293</v>
      </c>
      <c r="G78" s="34">
        <f>(F78-E78)*100</f>
        <v>12.35023041474655</v>
      </c>
      <c r="O78" s="16"/>
      <c r="P78" s="18"/>
      <c r="T78" s="122" t="str">
        <f>'Dashboard-1-AVALIAÇÃO INST.'!$A$30</f>
        <v>BOM</v>
      </c>
      <c r="U78" s="101">
        <f>U71</f>
        <v>0.10606060606060606</v>
      </c>
    </row>
    <row r="79" spans="1:21" ht="15.6" x14ac:dyDescent="0.3">
      <c r="A79" s="44"/>
      <c r="D79" s="122" t="str">
        <f>'Dashboard-1-AVALIAÇÃO INST.'!$A$30</f>
        <v>BOM</v>
      </c>
      <c r="E79" s="107">
        <f>E72</f>
        <v>0.12903225806451613</v>
      </c>
      <c r="F79" s="101">
        <f>F72</f>
        <v>0.11428571428571428</v>
      </c>
      <c r="G79" s="34">
        <f>(F79-E79)*100</f>
        <v>-1.4746543778801844</v>
      </c>
      <c r="O79" s="16"/>
      <c r="P79" s="18"/>
      <c r="T79" s="122" t="str">
        <f>'Dashboard-1-AVALIAÇÃO INST.'!$A$31</f>
        <v>RUIM / REGULAR</v>
      </c>
      <c r="U79" s="101">
        <f>U72+U73</f>
        <v>7.575757575757576E-2</v>
      </c>
    </row>
    <row r="80" spans="1:21" ht="15.6" x14ac:dyDescent="0.3">
      <c r="A80" s="44"/>
      <c r="D80" s="122" t="str">
        <f>'Dashboard-1-AVALIAÇÃO INST.'!$A$31</f>
        <v>RUIM / REGULAR</v>
      </c>
      <c r="E80" s="107">
        <f>E73+E74</f>
        <v>0.16129032258064516</v>
      </c>
      <c r="F80" s="101">
        <f>F73+F74</f>
        <v>0.11428571428571428</v>
      </c>
      <c r="G80" s="34">
        <f>(F80-E80)*100</f>
        <v>-4.7004608294930872</v>
      </c>
      <c r="O80" s="16"/>
      <c r="P80" s="18"/>
      <c r="T80" s="123" t="str">
        <f>'Dashboard-1-AVALIAÇÃO INST.'!$A$32</f>
        <v>NÃO SE APLICA / NÃO SEI</v>
      </c>
      <c r="U80" s="103">
        <f>U74</f>
        <v>1.5151515151515152E-2</v>
      </c>
    </row>
    <row r="81" spans="1:26" ht="15.6" x14ac:dyDescent="0.3">
      <c r="A81" s="44"/>
      <c r="D81" s="123" t="str">
        <f>'Dashboard-1-AVALIAÇÃO INST.'!$A$32</f>
        <v>NÃO SE APLICA / NÃO SEI</v>
      </c>
      <c r="E81" s="120">
        <f>E75</f>
        <v>0.29032258064516131</v>
      </c>
      <c r="F81" s="103">
        <f>F75</f>
        <v>0.22857142857142856</v>
      </c>
      <c r="G81" s="34">
        <f>(F81-E81)*100</f>
        <v>-6.1751152073732749</v>
      </c>
      <c r="O81" s="16"/>
      <c r="P81" s="18"/>
      <c r="T81" s="105">
        <f>(SUM(U77:U80))</f>
        <v>1.0000000000000002</v>
      </c>
      <c r="U81" s="106" t="str">
        <f>IF(T81=100%, "CORRETO","ERRO")</f>
        <v>CORRETO</v>
      </c>
    </row>
    <row r="82" spans="1:26" ht="15.6" x14ac:dyDescent="0.3">
      <c r="A82" s="44"/>
      <c r="D82" s="105">
        <f>(SUM(E78:E81))</f>
        <v>1</v>
      </c>
      <c r="E82" s="106" t="str">
        <f>IF(D82=100%, "CORRETO","ERRO")</f>
        <v>CORRETO</v>
      </c>
      <c r="F82" s="106" t="str">
        <f>IF(D83=100%, "CORRETO","ERRO")</f>
        <v>CORRETO</v>
      </c>
      <c r="O82" s="16"/>
      <c r="P82" s="18"/>
    </row>
    <row r="83" spans="1:26" ht="15" x14ac:dyDescent="0.25">
      <c r="A83" s="44"/>
      <c r="D83" s="105">
        <f>(SUM(F78:F81))</f>
        <v>1.0000000000000002</v>
      </c>
    </row>
    <row r="84" spans="1:26" ht="30" x14ac:dyDescent="0.25">
      <c r="A84" s="46"/>
      <c r="B84" s="33"/>
      <c r="E84" s="22"/>
      <c r="F84" s="22"/>
      <c r="G84" s="22"/>
      <c r="H84" s="22"/>
      <c r="I84" s="22"/>
      <c r="J84" s="22"/>
      <c r="K84" s="22"/>
      <c r="L84" s="22"/>
      <c r="M84" s="22"/>
      <c r="N84" s="22"/>
      <c r="Q84" s="22"/>
      <c r="R84" s="22"/>
      <c r="S84" s="22"/>
      <c r="T84" s="22"/>
      <c r="U84" s="22"/>
      <c r="V84" s="22"/>
      <c r="W84" s="22"/>
      <c r="X84" s="22"/>
      <c r="Y84" s="22"/>
      <c r="Z84" s="22"/>
    </row>
    <row r="85" spans="1:26" x14ac:dyDescent="0.25">
      <c r="A85" s="46"/>
      <c r="B85" s="33"/>
    </row>
    <row r="86" spans="1:26" ht="17.399999999999999" x14ac:dyDescent="0.3">
      <c r="A86" s="46"/>
      <c r="B86" s="33"/>
      <c r="D86" s="16"/>
      <c r="E86" s="32" t="s">
        <v>247</v>
      </c>
      <c r="F86" s="17" t="str">
        <f>'2-Autoavaliacao-Discente-Egress'!G1</f>
        <v>05- Seu orientador o incentivou a elaborar artigos científicos ?</v>
      </c>
      <c r="T86" s="36" t="str">
        <f>E86</f>
        <v>QUESTÃO 05</v>
      </c>
      <c r="U86" s="117"/>
    </row>
    <row r="87" spans="1:26" ht="15.6" x14ac:dyDescent="0.3">
      <c r="A87" s="46"/>
      <c r="B87" s="33"/>
      <c r="D87" s="16"/>
      <c r="E87" s="18"/>
      <c r="T87" s="16"/>
      <c r="U87" s="16"/>
    </row>
    <row r="88" spans="1:26" ht="15.6" x14ac:dyDescent="0.3">
      <c r="A88" s="46"/>
      <c r="B88" s="33"/>
      <c r="E88" s="23" t="s">
        <v>245</v>
      </c>
      <c r="F88" s="23" t="s">
        <v>246</v>
      </c>
      <c r="T88" s="66" t="str">
        <f>$A$20</f>
        <v>5-ÓTIMO</v>
      </c>
      <c r="U88" s="38">
        <f>(COUNTIFS('2-Autoavaliacao-Discente-Egress'!C$2:C$33,5)+COUNTIFS('2-Autoavaliacao-Discente-Egress'!C$50:C$85,5))/$A$16</f>
        <v>0.5757575757575758</v>
      </c>
    </row>
    <row r="89" spans="1:26" ht="15" x14ac:dyDescent="0.25">
      <c r="A89" s="46"/>
      <c r="B89" s="33"/>
      <c r="D89" s="66" t="str">
        <f>$A$20</f>
        <v>5-ÓTIMO</v>
      </c>
      <c r="E89" s="24">
        <f>'2-Autoavaliacao-Discente-Egress'!G36</f>
        <v>0.54838709677419351</v>
      </c>
      <c r="F89" s="25">
        <f>'2-Autoavaliacao-Discente-Egress'!G91</f>
        <v>0.8</v>
      </c>
      <c r="T89" s="67" t="str">
        <f>$A$21</f>
        <v>4-MUITO BOM</v>
      </c>
      <c r="U89" s="39">
        <f>(COUNTIFS('2-Autoavaliacao-Discente-Egress'!C$2:C$33,4)+COUNTIFS('2-Autoavaliacao-Discente-Egress'!C$50:C$85,4))/$A$16</f>
        <v>0.22727272727272727</v>
      </c>
    </row>
    <row r="90" spans="1:26" ht="15" x14ac:dyDescent="0.25">
      <c r="A90" s="46"/>
      <c r="B90" s="33"/>
      <c r="D90" s="67" t="str">
        <f>$A$21</f>
        <v>4-MUITO BOM</v>
      </c>
      <c r="E90" s="26">
        <f>'2-Autoavaliacao-Discente-Egress'!G37</f>
        <v>0.12903225806451613</v>
      </c>
      <c r="F90" s="27">
        <f>'2-Autoavaliacao-Discente-Egress'!G92</f>
        <v>2.8571428571428571E-2</v>
      </c>
      <c r="T90" s="67" t="str">
        <f>$A$22</f>
        <v>3-BOM</v>
      </c>
      <c r="U90" s="39">
        <f>(COUNTIFS('2-Autoavaliacao-Discente-Egress'!C$2:C$33,3)+COUNTIFS('2-Autoavaliacao-Discente-Egress'!C$50:C$85,3))/$A$16</f>
        <v>0.10606060606060606</v>
      </c>
    </row>
    <row r="91" spans="1:26" ht="15" x14ac:dyDescent="0.25">
      <c r="A91" s="46"/>
      <c r="B91" s="33"/>
      <c r="D91" s="67" t="str">
        <f>$A$22</f>
        <v>3-BOM</v>
      </c>
      <c r="E91" s="26">
        <f>'2-Autoavaliacao-Discente-Egress'!G38</f>
        <v>0.22580645161290322</v>
      </c>
      <c r="F91" s="27">
        <f>'2-Autoavaliacao-Discente-Egress'!G93</f>
        <v>5.7142857142857141E-2</v>
      </c>
      <c r="T91" s="67" t="str">
        <f>$A$23</f>
        <v>2-REGULAR</v>
      </c>
      <c r="U91" s="39">
        <f>(COUNTIFS('2-Autoavaliacao-Discente-Egress'!C$2:C$33,2)+COUNTIFS('2-Autoavaliacao-Discente-Egress'!C$50:C$85,2))/$A$16</f>
        <v>4.5454545454545456E-2</v>
      </c>
    </row>
    <row r="92" spans="1:26" ht="15" x14ac:dyDescent="0.25">
      <c r="A92" s="46"/>
      <c r="B92" s="33"/>
      <c r="D92" s="67" t="str">
        <f>$A$23</f>
        <v>2-REGULAR</v>
      </c>
      <c r="E92" s="26">
        <f>'2-Autoavaliacao-Discente-Egress'!G39</f>
        <v>9.6774193548387094E-2</v>
      </c>
      <c r="F92" s="27">
        <f>'2-Autoavaliacao-Discente-Egress'!G94</f>
        <v>2.8571428571428571E-2</v>
      </c>
      <c r="T92" s="67" t="str">
        <f>$A$24</f>
        <v>1-RUIM</v>
      </c>
      <c r="U92" s="39">
        <f>(COUNTIFS('2-Autoavaliacao-Discente-Egress'!C$2:C$33,1)+COUNTIFS('2-Autoavaliacao-Discente-Egress'!C$50:C$85,1))/$A$16</f>
        <v>3.0303030303030304E-2</v>
      </c>
    </row>
    <row r="93" spans="1:26" ht="15" x14ac:dyDescent="0.25">
      <c r="A93" s="46"/>
      <c r="B93" s="33"/>
      <c r="D93" s="67" t="str">
        <f>$A$24</f>
        <v>1-RUIM</v>
      </c>
      <c r="E93" s="26">
        <f>'2-Autoavaliacao-Discente-Egress'!G40</f>
        <v>0</v>
      </c>
      <c r="F93" s="27">
        <f>'2-Autoavaliacao-Discente-Egress'!G95</f>
        <v>2.8571428571428571E-2</v>
      </c>
      <c r="T93" s="68" t="str">
        <f>$A$25</f>
        <v>0-NÃO SE APLICA</v>
      </c>
      <c r="U93" s="40">
        <f>(COUNTIFS('2-Autoavaliacao-Discente-Egress'!C$2:C$33,0)+COUNTIFS('2-Autoavaliacao-Discente-Egress'!C$50:C$85,0))/$A$16</f>
        <v>1.5151515151515152E-2</v>
      </c>
    </row>
    <row r="94" spans="1:26" ht="15.6" x14ac:dyDescent="0.3">
      <c r="A94" s="46"/>
      <c r="B94" s="33"/>
      <c r="D94" s="68" t="str">
        <f>$A$25</f>
        <v>0-NÃO SE APLICA</v>
      </c>
      <c r="E94" s="28">
        <f>'2-Autoavaliacao-Discente-Egress'!G41</f>
        <v>0</v>
      </c>
      <c r="F94" s="29">
        <f>'2-Autoavaliacao-Discente-Egress'!G96</f>
        <v>5.7142857142857141E-2</v>
      </c>
      <c r="P94" s="18"/>
    </row>
    <row r="95" spans="1:26" ht="15.6" x14ac:dyDescent="0.3">
      <c r="A95" s="46"/>
      <c r="B95" s="33"/>
      <c r="P95" s="21"/>
      <c r="T95" s="79" t="str">
        <f>T86</f>
        <v>QUESTÃO 05</v>
      </c>
      <c r="U95" s="113" t="s">
        <v>255</v>
      </c>
    </row>
    <row r="96" spans="1:26" ht="15.6" x14ac:dyDescent="0.3">
      <c r="A96" s="46"/>
      <c r="B96" s="33"/>
      <c r="D96" s="112"/>
      <c r="E96" s="113" t="s">
        <v>245</v>
      </c>
      <c r="F96" s="113" t="s">
        <v>246</v>
      </c>
      <c r="G96" s="75" t="s">
        <v>251</v>
      </c>
      <c r="O96" s="16"/>
      <c r="P96" s="18"/>
      <c r="T96" s="121" t="str">
        <f>'Dashboard-1-AVALIAÇÃO INST.'!$A$29</f>
        <v>MUITO BOM / ÓTIMO</v>
      </c>
      <c r="U96" s="99">
        <f>U88+U89</f>
        <v>0.80303030303030309</v>
      </c>
    </row>
    <row r="97" spans="1:26" ht="15.6" x14ac:dyDescent="0.3">
      <c r="A97" s="46"/>
      <c r="B97" s="33"/>
      <c r="D97" s="121" t="str">
        <f>'Dashboard-1-AVALIAÇÃO INST.'!$A$29</f>
        <v>MUITO BOM / ÓTIMO</v>
      </c>
      <c r="E97" s="119">
        <f>E89+E90</f>
        <v>0.67741935483870963</v>
      </c>
      <c r="F97" s="99">
        <f>F89+F90</f>
        <v>0.82857142857142863</v>
      </c>
      <c r="G97" s="34">
        <f>(F97-E97)*100</f>
        <v>15.1152073732719</v>
      </c>
      <c r="O97" s="16"/>
      <c r="P97" s="18"/>
      <c r="T97" s="122" t="str">
        <f>'Dashboard-1-AVALIAÇÃO INST.'!$A$30</f>
        <v>BOM</v>
      </c>
      <c r="U97" s="101">
        <f>U90</f>
        <v>0.10606060606060606</v>
      </c>
    </row>
    <row r="98" spans="1:26" ht="15.6" x14ac:dyDescent="0.3">
      <c r="A98" s="46"/>
      <c r="B98" s="33"/>
      <c r="D98" s="122" t="str">
        <f>'Dashboard-1-AVALIAÇÃO INST.'!$A$30</f>
        <v>BOM</v>
      </c>
      <c r="E98" s="107">
        <f>E91</f>
        <v>0.22580645161290322</v>
      </c>
      <c r="F98" s="101">
        <f>F91</f>
        <v>5.7142857142857141E-2</v>
      </c>
      <c r="G98" s="34">
        <f>(F98-E98)*100</f>
        <v>-16.866359447004609</v>
      </c>
      <c r="O98" s="16"/>
      <c r="P98" s="18"/>
      <c r="T98" s="122" t="str">
        <f>'Dashboard-1-AVALIAÇÃO INST.'!$A$31</f>
        <v>RUIM / REGULAR</v>
      </c>
      <c r="U98" s="101">
        <f>U91+U92</f>
        <v>7.575757575757576E-2</v>
      </c>
    </row>
    <row r="99" spans="1:26" ht="15.6" x14ac:dyDescent="0.3">
      <c r="A99" s="46"/>
      <c r="B99" s="33"/>
      <c r="D99" s="122" t="str">
        <f>'Dashboard-1-AVALIAÇÃO INST.'!$A$31</f>
        <v>RUIM / REGULAR</v>
      </c>
      <c r="E99" s="107">
        <f>E92+E93</f>
        <v>9.6774193548387094E-2</v>
      </c>
      <c r="F99" s="101">
        <f>F92+F93</f>
        <v>5.7142857142857141E-2</v>
      </c>
      <c r="G99" s="34">
        <f>(F99-E99)*100</f>
        <v>-3.9631336405529951</v>
      </c>
      <c r="O99" s="16"/>
      <c r="P99" s="18"/>
      <c r="T99" s="123" t="str">
        <f>'Dashboard-1-AVALIAÇÃO INST.'!$A$32</f>
        <v>NÃO SE APLICA / NÃO SEI</v>
      </c>
      <c r="U99" s="103">
        <f>U93</f>
        <v>1.5151515151515152E-2</v>
      </c>
    </row>
    <row r="100" spans="1:26" ht="15.6" x14ac:dyDescent="0.3">
      <c r="A100" s="46"/>
      <c r="B100" s="33"/>
      <c r="D100" s="123" t="str">
        <f>'Dashboard-1-AVALIAÇÃO INST.'!$A$32</f>
        <v>NÃO SE APLICA / NÃO SEI</v>
      </c>
      <c r="E100" s="120">
        <f>E94</f>
        <v>0</v>
      </c>
      <c r="F100" s="103">
        <f>F94</f>
        <v>5.7142857142857141E-2</v>
      </c>
      <c r="G100" s="34">
        <f>(F100-E100)*100</f>
        <v>5.7142857142857144</v>
      </c>
      <c r="O100" s="16"/>
      <c r="P100" s="18"/>
      <c r="T100" s="105">
        <f>(SUM(U96:U99))</f>
        <v>1.0000000000000002</v>
      </c>
      <c r="U100" s="106" t="str">
        <f>IF(T100=100%, "CORRETO","ERRO")</f>
        <v>CORRETO</v>
      </c>
    </row>
    <row r="101" spans="1:26" ht="15.6" x14ac:dyDescent="0.3">
      <c r="A101" s="46"/>
      <c r="B101" s="33"/>
      <c r="D101" s="105">
        <f>(SUM(E97:E100))</f>
        <v>1</v>
      </c>
      <c r="E101" s="106" t="str">
        <f>IF(D101=100%, "CORRETO","ERRO")</f>
        <v>CORRETO</v>
      </c>
      <c r="F101" s="106" t="str">
        <f>IF(D102=100%, "CORRETO","ERRO")</f>
        <v>CORRETO</v>
      </c>
      <c r="O101" s="16"/>
      <c r="P101" s="18"/>
    </row>
    <row r="102" spans="1:26" ht="15" x14ac:dyDescent="0.25">
      <c r="A102" s="46"/>
      <c r="B102" s="33"/>
      <c r="D102" s="105">
        <f>(SUM(F97:F100))</f>
        <v>1</v>
      </c>
    </row>
    <row r="103" spans="1:26" ht="30" x14ac:dyDescent="0.25">
      <c r="A103" s="46"/>
      <c r="B103" s="33"/>
      <c r="E103" s="22"/>
      <c r="F103" s="22"/>
      <c r="G103" s="22"/>
      <c r="H103" s="22"/>
      <c r="I103" s="22"/>
      <c r="J103" s="22"/>
      <c r="K103" s="22"/>
      <c r="L103" s="22"/>
      <c r="M103" s="22"/>
      <c r="N103" s="22"/>
      <c r="Q103" s="22"/>
      <c r="R103" s="22"/>
      <c r="S103" s="22"/>
      <c r="T103" s="22"/>
      <c r="U103" s="22"/>
      <c r="V103" s="22"/>
      <c r="W103" s="22"/>
      <c r="X103" s="22"/>
      <c r="Y103" s="22"/>
      <c r="Z103" s="22"/>
    </row>
    <row r="104" spans="1:26" x14ac:dyDescent="0.25">
      <c r="A104" s="46"/>
      <c r="B104" s="33"/>
    </row>
    <row r="105" spans="1:26" ht="17.399999999999999" x14ac:dyDescent="0.3">
      <c r="A105" s="46"/>
      <c r="B105" s="33"/>
      <c r="D105" s="16"/>
      <c r="E105" s="32" t="s">
        <v>249</v>
      </c>
      <c r="F105" s="17" t="str">
        <f>'2-Autoavaliacao-Discente-Egress'!I1</f>
        <v>07- Os conhecimentos adquiridos durante o curso (mestrado/doutorado) foram importantes para a sua formação profissional ?</v>
      </c>
      <c r="T105" s="36" t="str">
        <f>E105</f>
        <v>QUESTÃO 07</v>
      </c>
      <c r="U105" s="117"/>
    </row>
    <row r="106" spans="1:26" ht="15.6" x14ac:dyDescent="0.3">
      <c r="A106" s="46"/>
      <c r="B106" s="33"/>
      <c r="D106" s="16"/>
      <c r="E106" s="18"/>
      <c r="T106" s="16"/>
      <c r="U106" s="16"/>
    </row>
    <row r="107" spans="1:26" ht="15.6" x14ac:dyDescent="0.3">
      <c r="A107" s="46"/>
      <c r="B107" s="33"/>
      <c r="E107" s="23" t="s">
        <v>245</v>
      </c>
      <c r="F107" s="23" t="s">
        <v>246</v>
      </c>
      <c r="T107" s="66" t="str">
        <f>$A$20</f>
        <v>5-ÓTIMO</v>
      </c>
      <c r="U107" s="145">
        <f>(COUNTIFS('2-Autoavaliacao-Discente-Egress'!C$2:C$33,5)+COUNTIFS('2-Autoavaliacao-Discente-Egress'!C$50:C$85,5))/$A$16</f>
        <v>0.5757575757575758</v>
      </c>
    </row>
    <row r="108" spans="1:26" ht="15" x14ac:dyDescent="0.25">
      <c r="A108" s="46"/>
      <c r="B108" s="33"/>
      <c r="D108" s="66" t="str">
        <f>$A$20</f>
        <v>5-ÓTIMO</v>
      </c>
      <c r="E108" s="24">
        <f>'2-Autoavaliacao-Discente-Egress'!I36</f>
        <v>0.64516129032258063</v>
      </c>
      <c r="F108" s="25">
        <f>'2-Autoavaliacao-Discente-Egress'!I91</f>
        <v>0.74285714285714288</v>
      </c>
      <c r="T108" s="67" t="str">
        <f>$A$21</f>
        <v>4-MUITO BOM</v>
      </c>
      <c r="U108" s="146">
        <f>(COUNTIFS('2-Autoavaliacao-Discente-Egress'!C$2:C$33,4)+COUNTIFS('2-Autoavaliacao-Discente-Egress'!C$50:C$85,4))/$A$16</f>
        <v>0.22727272727272727</v>
      </c>
    </row>
    <row r="109" spans="1:26" ht="15" x14ac:dyDescent="0.25">
      <c r="A109" s="46"/>
      <c r="B109" s="33"/>
      <c r="D109" s="67" t="str">
        <f>$A$21</f>
        <v>4-MUITO BOM</v>
      </c>
      <c r="E109" s="26">
        <f>'2-Autoavaliacao-Discente-Egress'!I37</f>
        <v>0.19354838709677419</v>
      </c>
      <c r="F109" s="27">
        <f>'2-Autoavaliacao-Discente-Egress'!I92</f>
        <v>0.14285714285714285</v>
      </c>
      <c r="T109" s="67" t="str">
        <f>$A$22</f>
        <v>3-BOM</v>
      </c>
      <c r="U109" s="146">
        <f>(COUNTIFS('2-Autoavaliacao-Discente-Egress'!C$2:C$33,3)+COUNTIFS('2-Autoavaliacao-Discente-Egress'!C$50:C$85,3))/$A$16</f>
        <v>0.10606060606060606</v>
      </c>
    </row>
    <row r="110" spans="1:26" ht="15" x14ac:dyDescent="0.25">
      <c r="A110" s="46"/>
      <c r="B110" s="33"/>
      <c r="D110" s="67" t="str">
        <f>$A$22</f>
        <v>3-BOM</v>
      </c>
      <c r="E110" s="26">
        <f>'2-Autoavaliacao-Discente-Egress'!I38</f>
        <v>3.2258064516129031E-2</v>
      </c>
      <c r="F110" s="27">
        <f>'2-Autoavaliacao-Discente-Egress'!I93</f>
        <v>0</v>
      </c>
      <c r="T110" s="67" t="str">
        <f>$A$23</f>
        <v>2-REGULAR</v>
      </c>
      <c r="U110" s="146">
        <f>(COUNTIFS('2-Autoavaliacao-Discente-Egress'!C$2:C$33,2)+COUNTIFS('2-Autoavaliacao-Discente-Egress'!C$50:C$85,2))/$A$16</f>
        <v>4.5454545454545456E-2</v>
      </c>
    </row>
    <row r="111" spans="1:26" ht="15" x14ac:dyDescent="0.25">
      <c r="A111" s="46"/>
      <c r="B111" s="33"/>
      <c r="D111" s="67" t="str">
        <f>$A$23</f>
        <v>2-REGULAR</v>
      </c>
      <c r="E111" s="26">
        <f>'2-Autoavaliacao-Discente-Egress'!I39</f>
        <v>0</v>
      </c>
      <c r="F111" s="27">
        <f>'2-Autoavaliacao-Discente-Egress'!I94</f>
        <v>2.8571428571428571E-2</v>
      </c>
      <c r="T111" s="67" t="str">
        <f>$A$24</f>
        <v>1-RUIM</v>
      </c>
      <c r="U111" s="146">
        <f>(COUNTIFS('2-Autoavaliacao-Discente-Egress'!C$2:C$33,1)+COUNTIFS('2-Autoavaliacao-Discente-Egress'!C$50:C$85,1))/$A$16</f>
        <v>3.0303030303030304E-2</v>
      </c>
    </row>
    <row r="112" spans="1:26" ht="15" x14ac:dyDescent="0.25">
      <c r="A112" s="46"/>
      <c r="B112" s="33"/>
      <c r="D112" s="67" t="str">
        <f>$A$24</f>
        <v>1-RUIM</v>
      </c>
      <c r="E112" s="26">
        <f>'2-Autoavaliacao-Discente-Egress'!I40</f>
        <v>0</v>
      </c>
      <c r="F112" s="27">
        <f>'2-Autoavaliacao-Discente-Egress'!I95</f>
        <v>0</v>
      </c>
      <c r="T112" s="68" t="str">
        <f>$A$25</f>
        <v>0-NÃO SE APLICA</v>
      </c>
      <c r="U112" s="147">
        <f>(COUNTIFS('2-Autoavaliacao-Discente-Egress'!C$2:C$33,0)+COUNTIFS('2-Autoavaliacao-Discente-Egress'!C$50:C$85,0))/$A$16</f>
        <v>1.5151515151515152E-2</v>
      </c>
    </row>
    <row r="113" spans="1:26" ht="15.6" x14ac:dyDescent="0.3">
      <c r="A113" s="46"/>
      <c r="B113" s="33"/>
      <c r="D113" s="68" t="str">
        <f>$A$25</f>
        <v>0-NÃO SE APLICA</v>
      </c>
      <c r="E113" s="28">
        <f>'2-Autoavaliacao-Discente-Egress'!I41</f>
        <v>0.12903225806451613</v>
      </c>
      <c r="F113" s="29">
        <f>'2-Autoavaliacao-Discente-Egress'!I96</f>
        <v>8.5714285714285715E-2</v>
      </c>
      <c r="P113" s="18"/>
    </row>
    <row r="114" spans="1:26" ht="15.6" x14ac:dyDescent="0.3">
      <c r="A114" s="46"/>
      <c r="B114" s="33"/>
      <c r="P114" s="21"/>
      <c r="T114" s="79" t="str">
        <f>T105</f>
        <v>QUESTÃO 07</v>
      </c>
      <c r="U114" s="113" t="s">
        <v>255</v>
      </c>
    </row>
    <row r="115" spans="1:26" ht="15.6" x14ac:dyDescent="0.3">
      <c r="A115" s="46"/>
      <c r="B115" s="33"/>
      <c r="D115" s="112"/>
      <c r="E115" s="113" t="s">
        <v>245</v>
      </c>
      <c r="F115" s="113" t="s">
        <v>246</v>
      </c>
      <c r="G115" s="75" t="s">
        <v>251</v>
      </c>
      <c r="O115" s="16"/>
      <c r="P115" s="18"/>
      <c r="T115" s="121" t="str">
        <f>'Dashboard-1-AVALIAÇÃO INST.'!$A$29</f>
        <v>MUITO BOM / ÓTIMO</v>
      </c>
      <c r="U115" s="99">
        <f>U107+U108</f>
        <v>0.80303030303030309</v>
      </c>
    </row>
    <row r="116" spans="1:26" ht="15.6" x14ac:dyDescent="0.3">
      <c r="A116" s="46"/>
      <c r="B116" s="33"/>
      <c r="D116" s="121" t="str">
        <f>'Dashboard-1-AVALIAÇÃO INST.'!$A$29</f>
        <v>MUITO BOM / ÓTIMO</v>
      </c>
      <c r="E116" s="119">
        <f>E108+E109</f>
        <v>0.83870967741935476</v>
      </c>
      <c r="F116" s="99">
        <f>F108+F109</f>
        <v>0.88571428571428568</v>
      </c>
      <c r="G116" s="34">
        <f>(F116-E116)*100</f>
        <v>4.7004608294930916</v>
      </c>
      <c r="O116" s="16"/>
      <c r="P116" s="18"/>
      <c r="T116" s="122" t="str">
        <f>'Dashboard-1-AVALIAÇÃO INST.'!$A$30</f>
        <v>BOM</v>
      </c>
      <c r="U116" s="101">
        <f>U109</f>
        <v>0.10606060606060606</v>
      </c>
    </row>
    <row r="117" spans="1:26" ht="15.6" x14ac:dyDescent="0.3">
      <c r="A117" s="46"/>
      <c r="B117" s="33"/>
      <c r="D117" s="122" t="str">
        <f>'Dashboard-1-AVALIAÇÃO INST.'!$A$30</f>
        <v>BOM</v>
      </c>
      <c r="E117" s="107">
        <f>E110</f>
        <v>3.2258064516129031E-2</v>
      </c>
      <c r="F117" s="101">
        <f>F110</f>
        <v>0</v>
      </c>
      <c r="G117" s="34">
        <f>(F117-E117)*100</f>
        <v>-3.225806451612903</v>
      </c>
      <c r="O117" s="16"/>
      <c r="P117" s="18"/>
      <c r="T117" s="122" t="str">
        <f>'Dashboard-1-AVALIAÇÃO INST.'!$A$31</f>
        <v>RUIM / REGULAR</v>
      </c>
      <c r="U117" s="101">
        <f>U110+U111</f>
        <v>7.575757575757576E-2</v>
      </c>
    </row>
    <row r="118" spans="1:26" ht="15.6" x14ac:dyDescent="0.3">
      <c r="A118" s="46"/>
      <c r="B118" s="33"/>
      <c r="D118" s="122" t="str">
        <f>'Dashboard-1-AVALIAÇÃO INST.'!$A$31</f>
        <v>RUIM / REGULAR</v>
      </c>
      <c r="E118" s="107">
        <f>E111+E112</f>
        <v>0</v>
      </c>
      <c r="F118" s="101">
        <f>F111+F112</f>
        <v>2.8571428571428571E-2</v>
      </c>
      <c r="G118" s="34">
        <f>(F118-E118)*100</f>
        <v>2.8571428571428572</v>
      </c>
      <c r="O118" s="16"/>
      <c r="P118" s="18"/>
      <c r="T118" s="123" t="str">
        <f>'Dashboard-1-AVALIAÇÃO INST.'!$A$32</f>
        <v>NÃO SE APLICA / NÃO SEI</v>
      </c>
      <c r="U118" s="103">
        <f>U112</f>
        <v>1.5151515151515152E-2</v>
      </c>
    </row>
    <row r="119" spans="1:26" ht="15.6" x14ac:dyDescent="0.3">
      <c r="A119" s="46"/>
      <c r="B119" s="33"/>
      <c r="D119" s="123" t="str">
        <f>'Dashboard-1-AVALIAÇÃO INST.'!$A$32</f>
        <v>NÃO SE APLICA / NÃO SEI</v>
      </c>
      <c r="E119" s="120">
        <f>E113</f>
        <v>0.12903225806451613</v>
      </c>
      <c r="F119" s="103">
        <f>F113</f>
        <v>8.5714285714285715E-2</v>
      </c>
      <c r="G119" s="34">
        <f>(F119-E119)*100</f>
        <v>-4.3317972350230409</v>
      </c>
      <c r="O119" s="16"/>
      <c r="P119" s="18"/>
      <c r="T119" s="105">
        <f>(SUM(U115:U118))</f>
        <v>1.0000000000000002</v>
      </c>
      <c r="U119" s="106" t="str">
        <f>IF(T119=100%, "CORRETO","ERRO")</f>
        <v>CORRETO</v>
      </c>
    </row>
    <row r="120" spans="1:26" ht="15.6" x14ac:dyDescent="0.3">
      <c r="A120" s="46"/>
      <c r="B120" s="33"/>
      <c r="D120" s="105">
        <f>(SUM(E116:E119))</f>
        <v>0.99999999999999989</v>
      </c>
      <c r="E120" s="106" t="str">
        <f>IF(D120=100%, "CORRETO","ERRO")</f>
        <v>CORRETO</v>
      </c>
      <c r="F120" s="106" t="str">
        <f>IF(D121=100%, "CORRETO","ERRO")</f>
        <v>CORRETO</v>
      </c>
      <c r="O120" s="16"/>
      <c r="P120" s="18"/>
    </row>
    <row r="121" spans="1:26" ht="15" x14ac:dyDescent="0.25">
      <c r="A121" s="46"/>
      <c r="B121" s="33"/>
      <c r="D121" s="105">
        <f>(SUM(F116:F119))</f>
        <v>1</v>
      </c>
    </row>
    <row r="122" spans="1:26" ht="30" x14ac:dyDescent="0.25">
      <c r="A122" s="46"/>
      <c r="B122" s="33"/>
      <c r="E122" s="22"/>
      <c r="F122" s="22"/>
      <c r="G122" s="22"/>
      <c r="H122" s="22"/>
      <c r="I122" s="22"/>
      <c r="J122" s="22"/>
      <c r="K122" s="22"/>
      <c r="L122" s="22"/>
      <c r="M122" s="22"/>
      <c r="N122" s="22"/>
      <c r="Q122" s="22"/>
      <c r="R122" s="22"/>
      <c r="S122" s="22"/>
      <c r="T122" s="22"/>
      <c r="U122" s="22"/>
      <c r="V122" s="22"/>
      <c r="W122" s="22"/>
      <c r="X122" s="22"/>
      <c r="Y122" s="22"/>
      <c r="Z122" s="22"/>
    </row>
    <row r="123" spans="1:26" ht="17.399999999999999" x14ac:dyDescent="0.3">
      <c r="A123" s="46"/>
      <c r="B123" s="33"/>
      <c r="D123" s="16"/>
      <c r="E123" s="32" t="s">
        <v>250</v>
      </c>
      <c r="F123" s="17" t="str">
        <f>'2-Autoavaliacao-Discente-Egress'!J1</f>
        <v>08- O curso colaborou para seu desenvolvimento pessoal ?</v>
      </c>
      <c r="T123" s="36" t="str">
        <f>E123</f>
        <v>QUESTÃO 08</v>
      </c>
      <c r="U123" s="117"/>
    </row>
    <row r="124" spans="1:26" ht="15.6" x14ac:dyDescent="0.3">
      <c r="A124" s="46"/>
      <c r="B124" s="33"/>
      <c r="D124" s="16"/>
      <c r="E124" s="18"/>
      <c r="T124" s="16"/>
      <c r="U124" s="16"/>
    </row>
    <row r="125" spans="1:26" ht="15.6" x14ac:dyDescent="0.3">
      <c r="A125" s="46"/>
      <c r="B125" s="33"/>
      <c r="E125" s="23" t="s">
        <v>245</v>
      </c>
      <c r="F125" s="23" t="s">
        <v>246</v>
      </c>
      <c r="T125" s="66" t="str">
        <f>$A$20</f>
        <v>5-ÓTIMO</v>
      </c>
      <c r="U125" s="145">
        <f>(COUNTIFS('2-Autoavaliacao-Discente-Egress'!C$2:C$33,5)+COUNTIFS('2-Autoavaliacao-Discente-Egress'!C$50:C$85,5))/$A$16</f>
        <v>0.5757575757575758</v>
      </c>
    </row>
    <row r="126" spans="1:26" ht="15" x14ac:dyDescent="0.25">
      <c r="A126" s="46"/>
      <c r="B126" s="33"/>
      <c r="D126" s="66" t="str">
        <f>$A$20</f>
        <v>5-ÓTIMO</v>
      </c>
      <c r="E126" s="24">
        <f>'2-Autoavaliacao-Discente-Egress'!J36</f>
        <v>0.64516129032258063</v>
      </c>
      <c r="F126" s="25">
        <f>'2-Autoavaliacao-Discente-Egress'!J91</f>
        <v>0.88571428571428568</v>
      </c>
      <c r="T126" s="67" t="str">
        <f>$A$21</f>
        <v>4-MUITO BOM</v>
      </c>
      <c r="U126" s="146">
        <f>(COUNTIFS('2-Autoavaliacao-Discente-Egress'!C$2:C$33,4)+COUNTIFS('2-Autoavaliacao-Discente-Egress'!C$50:C$85,4))/$A$16</f>
        <v>0.22727272727272727</v>
      </c>
    </row>
    <row r="127" spans="1:26" ht="15" x14ac:dyDescent="0.25">
      <c r="A127" s="46"/>
      <c r="B127" s="33"/>
      <c r="D127" s="67" t="str">
        <f>$A$21</f>
        <v>4-MUITO BOM</v>
      </c>
      <c r="E127" s="26">
        <f>'2-Autoavaliacao-Discente-Egress'!J37</f>
        <v>0.19354838709677419</v>
      </c>
      <c r="F127" s="27">
        <f>'2-Autoavaliacao-Discente-Egress'!J92</f>
        <v>2.8571428571428571E-2</v>
      </c>
      <c r="T127" s="67" t="str">
        <f>$A$22</f>
        <v>3-BOM</v>
      </c>
      <c r="U127" s="146">
        <f>(COUNTIFS('2-Autoavaliacao-Discente-Egress'!C$2:C$33,3)+COUNTIFS('2-Autoavaliacao-Discente-Egress'!C$50:C$85,3))/$A$16</f>
        <v>0.10606060606060606</v>
      </c>
    </row>
    <row r="128" spans="1:26" ht="15" x14ac:dyDescent="0.25">
      <c r="A128" s="46"/>
      <c r="B128" s="33"/>
      <c r="D128" s="67" t="str">
        <f>$A$22</f>
        <v>3-BOM</v>
      </c>
      <c r="E128" s="26">
        <f>'2-Autoavaliacao-Discente-Egress'!J38</f>
        <v>3.2258064516129031E-2</v>
      </c>
      <c r="F128" s="27">
        <f>'2-Autoavaliacao-Discente-Egress'!J93</f>
        <v>0</v>
      </c>
      <c r="T128" s="67" t="str">
        <f>$A$23</f>
        <v>2-REGULAR</v>
      </c>
      <c r="U128" s="146">
        <f>(COUNTIFS('2-Autoavaliacao-Discente-Egress'!C$2:C$33,2)+COUNTIFS('2-Autoavaliacao-Discente-Egress'!C$50:C$85,2))/$A$16</f>
        <v>4.5454545454545456E-2</v>
      </c>
    </row>
    <row r="129" spans="1:26" ht="15" x14ac:dyDescent="0.25">
      <c r="A129" s="46"/>
      <c r="B129" s="33"/>
      <c r="D129" s="67" t="str">
        <f>$A$23</f>
        <v>2-REGULAR</v>
      </c>
      <c r="E129" s="26">
        <f>'2-Autoavaliacao-Discente-Egress'!J39</f>
        <v>0</v>
      </c>
      <c r="F129" s="27">
        <f>'2-Autoavaliacao-Discente-Egress'!J94</f>
        <v>0</v>
      </c>
      <c r="T129" s="67" t="str">
        <f>$A$24</f>
        <v>1-RUIM</v>
      </c>
      <c r="U129" s="146">
        <f>(COUNTIFS('2-Autoavaliacao-Discente-Egress'!C$2:C$33,1)+COUNTIFS('2-Autoavaliacao-Discente-Egress'!C$50:C$85,1))/$A$16</f>
        <v>3.0303030303030304E-2</v>
      </c>
    </row>
    <row r="130" spans="1:26" ht="15" x14ac:dyDescent="0.25">
      <c r="A130" s="46"/>
      <c r="B130" s="33"/>
      <c r="D130" s="67" t="str">
        <f>$A$24</f>
        <v>1-RUIM</v>
      </c>
      <c r="E130" s="26">
        <f>'2-Autoavaliacao-Discente-Egress'!J40</f>
        <v>0</v>
      </c>
      <c r="F130" s="27">
        <f>'2-Autoavaliacao-Discente-Egress'!J95</f>
        <v>0</v>
      </c>
      <c r="T130" s="68" t="str">
        <f>$A$25</f>
        <v>0-NÃO SE APLICA</v>
      </c>
      <c r="U130" s="147">
        <f>(COUNTIFS('2-Autoavaliacao-Discente-Egress'!C$2:C$33,0)+COUNTIFS('2-Autoavaliacao-Discente-Egress'!C$50:C$85,0))/$A$16</f>
        <v>1.5151515151515152E-2</v>
      </c>
    </row>
    <row r="131" spans="1:26" ht="15.6" x14ac:dyDescent="0.3">
      <c r="A131" s="46"/>
      <c r="B131" s="33"/>
      <c r="D131" s="68" t="str">
        <f>$A$25</f>
        <v>0-NÃO SE APLICA</v>
      </c>
      <c r="E131" s="28">
        <f>'2-Autoavaliacao-Discente-Egress'!J41</f>
        <v>0.12903225806451613</v>
      </c>
      <c r="F131" s="29">
        <f>'2-Autoavaliacao-Discente-Egress'!J96</f>
        <v>8.5714285714285715E-2</v>
      </c>
      <c r="P131" s="18"/>
    </row>
    <row r="132" spans="1:26" ht="15.6" x14ac:dyDescent="0.3">
      <c r="A132" s="46"/>
      <c r="B132" s="33"/>
      <c r="P132" s="21"/>
      <c r="T132" s="79" t="str">
        <f>T123</f>
        <v>QUESTÃO 08</v>
      </c>
      <c r="U132" s="113" t="s">
        <v>255</v>
      </c>
    </row>
    <row r="133" spans="1:26" ht="15.6" x14ac:dyDescent="0.3">
      <c r="A133" s="46"/>
      <c r="B133" s="33"/>
      <c r="D133" s="112"/>
      <c r="E133" s="113" t="s">
        <v>245</v>
      </c>
      <c r="F133" s="113" t="s">
        <v>246</v>
      </c>
      <c r="G133" s="75" t="s">
        <v>251</v>
      </c>
      <c r="O133" s="16"/>
      <c r="P133" s="18"/>
      <c r="T133" s="121" t="str">
        <f>'Dashboard-1-AVALIAÇÃO INST.'!$A$29</f>
        <v>MUITO BOM / ÓTIMO</v>
      </c>
      <c r="U133" s="99">
        <f>U125+U126</f>
        <v>0.80303030303030309</v>
      </c>
    </row>
    <row r="134" spans="1:26" ht="15.6" x14ac:dyDescent="0.3">
      <c r="A134" s="46"/>
      <c r="B134" s="33"/>
      <c r="D134" s="121" t="str">
        <f>'Dashboard-1-AVALIAÇÃO INST.'!$A$29</f>
        <v>MUITO BOM / ÓTIMO</v>
      </c>
      <c r="E134" s="119">
        <f>E126+E127</f>
        <v>0.83870967741935476</v>
      </c>
      <c r="F134" s="99">
        <f>F126+F127</f>
        <v>0.91428571428571426</v>
      </c>
      <c r="G134" s="34">
        <f>(F134-E134)*100</f>
        <v>7.5576036866359502</v>
      </c>
      <c r="O134" s="16"/>
      <c r="P134" s="18"/>
      <c r="T134" s="122" t="str">
        <f>'Dashboard-1-AVALIAÇÃO INST.'!$A$30</f>
        <v>BOM</v>
      </c>
      <c r="U134" s="101">
        <f>U127</f>
        <v>0.10606060606060606</v>
      </c>
    </row>
    <row r="135" spans="1:26" ht="15.6" x14ac:dyDescent="0.3">
      <c r="A135" s="46"/>
      <c r="B135" s="33"/>
      <c r="D135" s="122" t="str">
        <f>'Dashboard-1-AVALIAÇÃO INST.'!$A$30</f>
        <v>BOM</v>
      </c>
      <c r="E135" s="107">
        <f>E128</f>
        <v>3.2258064516129031E-2</v>
      </c>
      <c r="F135" s="101">
        <f>F128</f>
        <v>0</v>
      </c>
      <c r="G135" s="34">
        <f>(F135-E135)*100</f>
        <v>-3.225806451612903</v>
      </c>
      <c r="O135" s="16"/>
      <c r="P135" s="18"/>
      <c r="T135" s="122" t="str">
        <f>'Dashboard-1-AVALIAÇÃO INST.'!$A$31</f>
        <v>RUIM / REGULAR</v>
      </c>
      <c r="U135" s="101">
        <f>U128+U129</f>
        <v>7.575757575757576E-2</v>
      </c>
    </row>
    <row r="136" spans="1:26" ht="15.6" x14ac:dyDescent="0.3">
      <c r="A136" s="46"/>
      <c r="B136" s="33"/>
      <c r="D136" s="122" t="str">
        <f>'Dashboard-1-AVALIAÇÃO INST.'!$A$31</f>
        <v>RUIM / REGULAR</v>
      </c>
      <c r="E136" s="107">
        <f>E129+E130</f>
        <v>0</v>
      </c>
      <c r="F136" s="101">
        <f>F129+F130</f>
        <v>0</v>
      </c>
      <c r="G136" s="34">
        <f>(F136-E136)*100</f>
        <v>0</v>
      </c>
      <c r="O136" s="16"/>
      <c r="P136" s="18"/>
      <c r="T136" s="123" t="str">
        <f>'Dashboard-1-AVALIAÇÃO INST.'!$A$32</f>
        <v>NÃO SE APLICA / NÃO SEI</v>
      </c>
      <c r="U136" s="103">
        <f>U130</f>
        <v>1.5151515151515152E-2</v>
      </c>
    </row>
    <row r="137" spans="1:26" ht="15.6" x14ac:dyDescent="0.3">
      <c r="A137" s="46"/>
      <c r="B137" s="33"/>
      <c r="D137" s="123" t="str">
        <f>'Dashboard-1-AVALIAÇÃO INST.'!$A$32</f>
        <v>NÃO SE APLICA / NÃO SEI</v>
      </c>
      <c r="E137" s="120">
        <f>E131</f>
        <v>0.12903225806451613</v>
      </c>
      <c r="F137" s="103">
        <f>F131</f>
        <v>8.5714285714285715E-2</v>
      </c>
      <c r="G137" s="34">
        <f>(F137-E137)*100</f>
        <v>-4.3317972350230409</v>
      </c>
      <c r="O137" s="16"/>
      <c r="P137" s="18"/>
      <c r="T137" s="105">
        <f>(SUM(U133:U136))</f>
        <v>1.0000000000000002</v>
      </c>
      <c r="U137" s="106" t="str">
        <f>IF(T137=100%, "CORRETO","ERRO")</f>
        <v>CORRETO</v>
      </c>
    </row>
    <row r="138" spans="1:26" ht="15.6" x14ac:dyDescent="0.3">
      <c r="A138" s="46"/>
      <c r="B138" s="33"/>
      <c r="D138" s="105">
        <f>(SUM(E134:E137))</f>
        <v>0.99999999999999989</v>
      </c>
      <c r="E138" s="106" t="str">
        <f>IF(D138=100%, "CORRETO","ERRO")</f>
        <v>CORRETO</v>
      </c>
      <c r="F138" s="106" t="str">
        <f>IF(D139=100%, "CORRETO","ERRO")</f>
        <v>CORRETO</v>
      </c>
      <c r="O138" s="16"/>
      <c r="P138" s="18"/>
    </row>
    <row r="139" spans="1:26" ht="15" x14ac:dyDescent="0.25">
      <c r="A139" s="46"/>
      <c r="B139" s="33"/>
      <c r="D139" s="105">
        <f>(SUM(F134:F137))</f>
        <v>1</v>
      </c>
    </row>
    <row r="140" spans="1:26" ht="30" x14ac:dyDescent="0.25">
      <c r="A140" s="46"/>
      <c r="B140" s="33"/>
      <c r="E140" s="22"/>
      <c r="F140" s="22"/>
      <c r="G140" s="22"/>
      <c r="H140" s="22"/>
      <c r="I140" s="22"/>
      <c r="J140" s="22"/>
      <c r="K140" s="22"/>
      <c r="L140" s="22"/>
      <c r="M140" s="22"/>
      <c r="N140" s="22"/>
      <c r="Q140" s="22"/>
      <c r="R140" s="22"/>
      <c r="S140" s="22"/>
      <c r="T140" s="22"/>
      <c r="U140" s="22"/>
      <c r="V140" s="22"/>
      <c r="W140" s="22"/>
      <c r="X140" s="22"/>
      <c r="Y140" s="22"/>
      <c r="Z140" s="22"/>
    </row>
    <row r="141" spans="1:26" x14ac:dyDescent="0.25">
      <c r="A141" s="46"/>
      <c r="B141" s="33"/>
    </row>
    <row r="142" spans="1:26" ht="17.399999999999999" x14ac:dyDescent="0.3">
      <c r="A142" s="46"/>
      <c r="B142" s="33"/>
      <c r="D142" s="16"/>
      <c r="E142" s="32" t="s">
        <v>252</v>
      </c>
      <c r="F142" s="17" t="str">
        <f>'2-Autoavaliacao-Discente-Egress'!K1</f>
        <v>09- Sua atuação profissional é na área de Ciência e Engenharia de Materiais ?</v>
      </c>
      <c r="T142" s="36" t="str">
        <f>E142</f>
        <v>QUESTÃO 09</v>
      </c>
      <c r="U142" s="117"/>
    </row>
    <row r="143" spans="1:26" ht="15.6" x14ac:dyDescent="0.3">
      <c r="A143" s="46"/>
      <c r="B143" s="33"/>
      <c r="D143" s="16"/>
      <c r="E143" s="18"/>
      <c r="T143" s="16"/>
      <c r="U143" s="16"/>
    </row>
    <row r="144" spans="1:26" ht="15.6" x14ac:dyDescent="0.3">
      <c r="A144" s="46"/>
      <c r="B144" s="33"/>
      <c r="E144" s="23" t="s">
        <v>245</v>
      </c>
      <c r="F144" s="23" t="s">
        <v>246</v>
      </c>
      <c r="T144" s="66" t="str">
        <f>$A$20</f>
        <v>5-ÓTIMO</v>
      </c>
      <c r="U144" s="145">
        <f>(COUNTIFS('2-Autoavaliacao-Discente-Egress'!C$2:C$33,5)+COUNTIFS('2-Autoavaliacao-Discente-Egress'!C$50:C$85,5))/$A$16</f>
        <v>0.5757575757575758</v>
      </c>
    </row>
    <row r="145" spans="1:26" ht="15" x14ac:dyDescent="0.25">
      <c r="A145" s="46"/>
      <c r="B145" s="33"/>
      <c r="D145" s="66" t="str">
        <f>$A$20</f>
        <v>5-ÓTIMO</v>
      </c>
      <c r="E145" s="24">
        <f>'2-Autoavaliacao-Discente-Egress'!K36</f>
        <v>0.64516129032258063</v>
      </c>
      <c r="F145" s="25">
        <f>'2-Autoavaliacao-Discente-Egress'!K91</f>
        <v>0.48571428571428571</v>
      </c>
      <c r="T145" s="67" t="str">
        <f>$A$21</f>
        <v>4-MUITO BOM</v>
      </c>
      <c r="U145" s="146">
        <f>(COUNTIFS('2-Autoavaliacao-Discente-Egress'!C$2:C$33,4)+COUNTIFS('2-Autoavaliacao-Discente-Egress'!C$50:C$85,4))/$A$16</f>
        <v>0.22727272727272727</v>
      </c>
    </row>
    <row r="146" spans="1:26" ht="15" x14ac:dyDescent="0.25">
      <c r="A146" s="46"/>
      <c r="B146" s="33"/>
      <c r="D146" s="67" t="str">
        <f>$A$21</f>
        <v>4-MUITO BOM</v>
      </c>
      <c r="E146" s="26">
        <f>'2-Autoavaliacao-Discente-Egress'!K37</f>
        <v>6.4516129032258063E-2</v>
      </c>
      <c r="F146" s="27">
        <f>'2-Autoavaliacao-Discente-Egress'!K92</f>
        <v>0.17142857142857143</v>
      </c>
      <c r="T146" s="67" t="str">
        <f>$A$22</f>
        <v>3-BOM</v>
      </c>
      <c r="U146" s="146">
        <f>(COUNTIFS('2-Autoavaliacao-Discente-Egress'!C$2:C$33,3)+COUNTIFS('2-Autoavaliacao-Discente-Egress'!C$50:C$85,3))/$A$16</f>
        <v>0.10606060606060606</v>
      </c>
    </row>
    <row r="147" spans="1:26" ht="15" x14ac:dyDescent="0.25">
      <c r="A147" s="46"/>
      <c r="B147" s="33"/>
      <c r="D147" s="67" t="str">
        <f>$A$22</f>
        <v>3-BOM</v>
      </c>
      <c r="E147" s="26">
        <f>'2-Autoavaliacao-Discente-Egress'!K38</f>
        <v>9.6774193548387094E-2</v>
      </c>
      <c r="F147" s="27">
        <f>'2-Autoavaliacao-Discente-Egress'!K93</f>
        <v>5.7142857142857141E-2</v>
      </c>
      <c r="T147" s="67" t="str">
        <f>$A$23</f>
        <v>2-REGULAR</v>
      </c>
      <c r="U147" s="146">
        <f>(COUNTIFS('2-Autoavaliacao-Discente-Egress'!C$2:C$33,2)+COUNTIFS('2-Autoavaliacao-Discente-Egress'!C$50:C$85,2))/$A$16</f>
        <v>4.5454545454545456E-2</v>
      </c>
    </row>
    <row r="148" spans="1:26" ht="15" x14ac:dyDescent="0.25">
      <c r="A148" s="46"/>
      <c r="B148" s="33"/>
      <c r="D148" s="67" t="str">
        <f>$A$23</f>
        <v>2-REGULAR</v>
      </c>
      <c r="E148" s="26">
        <f>'2-Autoavaliacao-Discente-Egress'!K39</f>
        <v>0</v>
      </c>
      <c r="F148" s="27">
        <f>'2-Autoavaliacao-Discente-Egress'!K94</f>
        <v>5.7142857142857141E-2</v>
      </c>
      <c r="T148" s="67" t="str">
        <f>$A$24</f>
        <v>1-RUIM</v>
      </c>
      <c r="U148" s="146">
        <f>(COUNTIFS('2-Autoavaliacao-Discente-Egress'!C$2:C$33,1)+COUNTIFS('2-Autoavaliacao-Discente-Egress'!C$50:C$85,1))/$A$16</f>
        <v>3.0303030303030304E-2</v>
      </c>
    </row>
    <row r="149" spans="1:26" ht="15" x14ac:dyDescent="0.25">
      <c r="A149" s="46"/>
      <c r="B149" s="33"/>
      <c r="D149" s="67" t="str">
        <f>$A$24</f>
        <v>1-RUIM</v>
      </c>
      <c r="E149" s="26">
        <f>'2-Autoavaliacao-Discente-Egress'!K40</f>
        <v>6.4516129032258063E-2</v>
      </c>
      <c r="F149" s="27">
        <f>'2-Autoavaliacao-Discente-Egress'!K95</f>
        <v>8.5714285714285715E-2</v>
      </c>
      <c r="T149" s="68" t="str">
        <f>$A$25</f>
        <v>0-NÃO SE APLICA</v>
      </c>
      <c r="U149" s="147">
        <f>(COUNTIFS('2-Autoavaliacao-Discente-Egress'!C$2:C$33,0)+COUNTIFS('2-Autoavaliacao-Discente-Egress'!C$50:C$85,0))/$A$16</f>
        <v>1.5151515151515152E-2</v>
      </c>
    </row>
    <row r="150" spans="1:26" ht="15.6" x14ac:dyDescent="0.3">
      <c r="A150" s="46"/>
      <c r="B150" s="33"/>
      <c r="D150" s="68" t="str">
        <f>$A$25</f>
        <v>0-NÃO SE APLICA</v>
      </c>
      <c r="E150" s="28">
        <f>'2-Autoavaliacao-Discente-Egress'!K41</f>
        <v>0.12903225806451613</v>
      </c>
      <c r="F150" s="29">
        <f>'2-Autoavaliacao-Discente-Egress'!K96</f>
        <v>0.14285714285714285</v>
      </c>
      <c r="P150" s="18"/>
    </row>
    <row r="151" spans="1:26" ht="15.6" x14ac:dyDescent="0.3">
      <c r="A151" s="46"/>
      <c r="B151" s="33"/>
      <c r="P151" s="21"/>
      <c r="T151" s="79" t="str">
        <f>T142</f>
        <v>QUESTÃO 09</v>
      </c>
      <c r="U151" s="113" t="s">
        <v>255</v>
      </c>
    </row>
    <row r="152" spans="1:26" ht="15.6" x14ac:dyDescent="0.3">
      <c r="A152" s="46"/>
      <c r="B152" s="33"/>
      <c r="D152" s="112"/>
      <c r="E152" s="113" t="s">
        <v>245</v>
      </c>
      <c r="F152" s="113" t="s">
        <v>246</v>
      </c>
      <c r="G152" s="75" t="s">
        <v>251</v>
      </c>
      <c r="O152" s="16"/>
      <c r="P152" s="18"/>
      <c r="T152" s="121" t="str">
        <f>'Dashboard-1-AVALIAÇÃO INST.'!$A$29</f>
        <v>MUITO BOM / ÓTIMO</v>
      </c>
      <c r="U152" s="99">
        <f>U144+U145</f>
        <v>0.80303030303030309</v>
      </c>
    </row>
    <row r="153" spans="1:26" ht="15.6" x14ac:dyDescent="0.3">
      <c r="A153" s="46"/>
      <c r="B153" s="33"/>
      <c r="D153" s="121" t="str">
        <f>'Dashboard-1-AVALIAÇÃO INST.'!$A$29</f>
        <v>MUITO BOM / ÓTIMO</v>
      </c>
      <c r="E153" s="119">
        <f>E145+E146</f>
        <v>0.70967741935483875</v>
      </c>
      <c r="F153" s="99">
        <f>F145+F146</f>
        <v>0.65714285714285714</v>
      </c>
      <c r="G153" s="34">
        <f>(F153-E153)*100</f>
        <v>-5.2534562211981601</v>
      </c>
      <c r="O153" s="16"/>
      <c r="P153" s="18"/>
      <c r="T153" s="122" t="str">
        <f>'Dashboard-1-AVALIAÇÃO INST.'!$A$30</f>
        <v>BOM</v>
      </c>
      <c r="U153" s="101">
        <f>U146</f>
        <v>0.10606060606060606</v>
      </c>
    </row>
    <row r="154" spans="1:26" ht="15.6" x14ac:dyDescent="0.3">
      <c r="A154" s="46"/>
      <c r="B154" s="33"/>
      <c r="D154" s="122" t="str">
        <f>'Dashboard-1-AVALIAÇÃO INST.'!$A$30</f>
        <v>BOM</v>
      </c>
      <c r="E154" s="107">
        <f>E147</f>
        <v>9.6774193548387094E-2</v>
      </c>
      <c r="F154" s="101">
        <f>F147</f>
        <v>5.7142857142857141E-2</v>
      </c>
      <c r="G154" s="34">
        <f>(F154-E154)*100</f>
        <v>-3.9631336405529951</v>
      </c>
      <c r="O154" s="16"/>
      <c r="P154" s="18"/>
      <c r="T154" s="122" t="str">
        <f>'Dashboard-1-AVALIAÇÃO INST.'!$A$31</f>
        <v>RUIM / REGULAR</v>
      </c>
      <c r="U154" s="101">
        <f>U147+U148</f>
        <v>7.575757575757576E-2</v>
      </c>
    </row>
    <row r="155" spans="1:26" ht="15.6" x14ac:dyDescent="0.3">
      <c r="A155" s="46"/>
      <c r="B155" s="33"/>
      <c r="D155" s="122" t="str">
        <f>'Dashboard-1-AVALIAÇÃO INST.'!$A$31</f>
        <v>RUIM / REGULAR</v>
      </c>
      <c r="E155" s="107">
        <f>E148+E149</f>
        <v>6.4516129032258063E-2</v>
      </c>
      <c r="F155" s="101">
        <f>F148+F149</f>
        <v>0.14285714285714285</v>
      </c>
      <c r="G155" s="34">
        <f>(F155-E155)*100</f>
        <v>7.8341013824884786</v>
      </c>
      <c r="O155" s="16"/>
      <c r="P155" s="18"/>
      <c r="T155" s="123" t="str">
        <f>'Dashboard-1-AVALIAÇÃO INST.'!$A$32</f>
        <v>NÃO SE APLICA / NÃO SEI</v>
      </c>
      <c r="U155" s="103">
        <f>U149</f>
        <v>1.5151515151515152E-2</v>
      </c>
    </row>
    <row r="156" spans="1:26" ht="15.6" x14ac:dyDescent="0.3">
      <c r="A156" s="46"/>
      <c r="B156" s="33"/>
      <c r="D156" s="123" t="str">
        <f>'Dashboard-1-AVALIAÇÃO INST.'!$A$32</f>
        <v>NÃO SE APLICA / NÃO SEI</v>
      </c>
      <c r="E156" s="120">
        <f>E150</f>
        <v>0.12903225806451613</v>
      </c>
      <c r="F156" s="103">
        <f>F150</f>
        <v>0.14285714285714285</v>
      </c>
      <c r="G156" s="34">
        <f>(F156-E156)*100</f>
        <v>1.3824884792626724</v>
      </c>
      <c r="O156" s="16"/>
      <c r="P156" s="18"/>
      <c r="T156" s="105">
        <f>(SUM(U152:U155))</f>
        <v>1.0000000000000002</v>
      </c>
      <c r="U156" s="106" t="str">
        <f>IF(T156=100%, "CORRETO","ERRO")</f>
        <v>CORRETO</v>
      </c>
    </row>
    <row r="157" spans="1:26" ht="15.6" x14ac:dyDescent="0.3">
      <c r="A157" s="46"/>
      <c r="B157" s="33"/>
      <c r="D157" s="105">
        <f>(SUM(E153:E156))</f>
        <v>1</v>
      </c>
      <c r="E157" s="106" t="str">
        <f>IF(D157=100%, "CORRETO","ERRO")</f>
        <v>CORRETO</v>
      </c>
      <c r="F157" s="106" t="str">
        <f>IF(D158=100%, "CORRETO","ERRO")</f>
        <v>CORRETO</v>
      </c>
      <c r="O157" s="16"/>
      <c r="P157" s="18"/>
    </row>
    <row r="158" spans="1:26" ht="15" x14ac:dyDescent="0.25">
      <c r="A158" s="46"/>
      <c r="B158" s="33"/>
      <c r="D158" s="105">
        <f>(SUM(F153:F156))</f>
        <v>1</v>
      </c>
    </row>
    <row r="159" spans="1:26" ht="30" x14ac:dyDescent="0.25">
      <c r="A159" s="46"/>
      <c r="B159" s="33"/>
      <c r="E159" s="22"/>
      <c r="F159" s="22"/>
      <c r="G159" s="22"/>
      <c r="H159" s="22"/>
      <c r="I159" s="22"/>
      <c r="J159" s="22"/>
      <c r="K159" s="22"/>
      <c r="L159" s="22"/>
      <c r="M159" s="22"/>
      <c r="N159" s="22"/>
      <c r="Q159" s="22"/>
      <c r="R159" s="22"/>
      <c r="S159" s="22"/>
      <c r="T159" s="22"/>
      <c r="U159" s="22"/>
      <c r="V159" s="22"/>
      <c r="W159" s="22"/>
      <c r="X159" s="22"/>
      <c r="Y159" s="22"/>
      <c r="Z159" s="22"/>
    </row>
    <row r="160" spans="1:26" x14ac:dyDescent="0.25">
      <c r="A160" s="46"/>
      <c r="B160" s="33"/>
    </row>
    <row r="161" spans="1:21" x14ac:dyDescent="0.25">
      <c r="A161" s="46"/>
      <c r="B161" s="33"/>
    </row>
    <row r="162" spans="1:21" x14ac:dyDescent="0.25">
      <c r="A162" s="46"/>
      <c r="B162" s="33"/>
    </row>
    <row r="163" spans="1:21" ht="17.399999999999999" x14ac:dyDescent="0.3">
      <c r="A163" s="46"/>
      <c r="B163" s="33"/>
      <c r="D163" s="16"/>
      <c r="E163" s="32" t="s">
        <v>253</v>
      </c>
      <c r="F163" s="17" t="str">
        <f>'2-Autoavaliacao-Discente-Egress'!L1</f>
        <v>10- Você se considera satisfeito com sua área de atuação profissional atual ?</v>
      </c>
      <c r="T163" s="36" t="str">
        <f>E163</f>
        <v>QUESTÃO 10</v>
      </c>
      <c r="U163" s="117"/>
    </row>
    <row r="164" spans="1:21" ht="15.6" x14ac:dyDescent="0.3">
      <c r="A164" s="46"/>
      <c r="B164" s="33"/>
      <c r="D164" s="16"/>
      <c r="E164" s="18"/>
      <c r="T164" s="16"/>
      <c r="U164" s="16"/>
    </row>
    <row r="165" spans="1:21" ht="15.6" x14ac:dyDescent="0.3">
      <c r="A165" s="46"/>
      <c r="B165" s="33"/>
      <c r="E165" s="23" t="s">
        <v>245</v>
      </c>
      <c r="F165" s="23" t="s">
        <v>246</v>
      </c>
      <c r="T165" s="66" t="str">
        <f>$A$20</f>
        <v>5-ÓTIMO</v>
      </c>
      <c r="U165" s="145">
        <f>(COUNTIFS('2-Autoavaliacao-Discente-Egress'!C$2:C$33,5)+COUNTIFS('2-Autoavaliacao-Discente-Egress'!C$50:C$85,5))/$A$16</f>
        <v>0.5757575757575758</v>
      </c>
    </row>
    <row r="166" spans="1:21" ht="15" x14ac:dyDescent="0.25">
      <c r="A166" s="46"/>
      <c r="B166" s="33"/>
      <c r="D166" s="66" t="str">
        <f>$A$20</f>
        <v>5-ÓTIMO</v>
      </c>
      <c r="E166" s="24">
        <f>'2-Autoavaliacao-Discente-Egress'!L36</f>
        <v>0.4838709677419355</v>
      </c>
      <c r="F166" s="25">
        <f>'2-Autoavaliacao-Discente-Egress'!L91</f>
        <v>0.65714285714285714</v>
      </c>
      <c r="T166" s="67" t="str">
        <f>$A$21</f>
        <v>4-MUITO BOM</v>
      </c>
      <c r="U166" s="146">
        <f>(COUNTIFS('2-Autoavaliacao-Discente-Egress'!C$2:C$33,4)+COUNTIFS('2-Autoavaliacao-Discente-Egress'!C$50:C$85,4))/$A$16</f>
        <v>0.22727272727272727</v>
      </c>
    </row>
    <row r="167" spans="1:21" ht="15" x14ac:dyDescent="0.25">
      <c r="A167" s="46"/>
      <c r="B167" s="33"/>
      <c r="D167" s="67" t="str">
        <f>$A$21</f>
        <v>4-MUITO BOM</v>
      </c>
      <c r="E167" s="26">
        <f>'2-Autoavaliacao-Discente-Egress'!L37</f>
        <v>0.16129032258064516</v>
      </c>
      <c r="F167" s="27">
        <f>'2-Autoavaliacao-Discente-Egress'!L92</f>
        <v>0.11428571428571428</v>
      </c>
      <c r="T167" s="67" t="str">
        <f>$A$22</f>
        <v>3-BOM</v>
      </c>
      <c r="U167" s="146">
        <f>(COUNTIFS('2-Autoavaliacao-Discente-Egress'!C$2:C$33,3)+COUNTIFS('2-Autoavaliacao-Discente-Egress'!C$50:C$85,3))/$A$16</f>
        <v>0.10606060606060606</v>
      </c>
    </row>
    <row r="168" spans="1:21" ht="15" x14ac:dyDescent="0.25">
      <c r="A168" s="46"/>
      <c r="B168" s="33"/>
      <c r="D168" s="67" t="str">
        <f>$A$22</f>
        <v>3-BOM</v>
      </c>
      <c r="E168" s="26">
        <f>'2-Autoavaliacao-Discente-Egress'!L38</f>
        <v>9.6774193548387094E-2</v>
      </c>
      <c r="F168" s="27">
        <f>'2-Autoavaliacao-Discente-Egress'!L93</f>
        <v>2.8571428571428571E-2</v>
      </c>
      <c r="T168" s="67" t="str">
        <f>$A$23</f>
        <v>2-REGULAR</v>
      </c>
      <c r="U168" s="146">
        <f>(COUNTIFS('2-Autoavaliacao-Discente-Egress'!C$2:C$33,2)+COUNTIFS('2-Autoavaliacao-Discente-Egress'!C$50:C$85,2))/$A$16</f>
        <v>4.5454545454545456E-2</v>
      </c>
    </row>
    <row r="169" spans="1:21" ht="15" x14ac:dyDescent="0.25">
      <c r="A169" s="46"/>
      <c r="B169" s="33"/>
      <c r="D169" s="67" t="str">
        <f>$A$23</f>
        <v>2-REGULAR</v>
      </c>
      <c r="E169" s="26">
        <f>'2-Autoavaliacao-Discente-Egress'!L39</f>
        <v>0.12903225806451613</v>
      </c>
      <c r="F169" s="27">
        <f>'2-Autoavaliacao-Discente-Egress'!L94</f>
        <v>2.8571428571428571E-2</v>
      </c>
      <c r="T169" s="67" t="str">
        <f>$A$24</f>
        <v>1-RUIM</v>
      </c>
      <c r="U169" s="146">
        <f>(COUNTIFS('2-Autoavaliacao-Discente-Egress'!C$2:C$33,1)+COUNTIFS('2-Autoavaliacao-Discente-Egress'!C$50:C$85,1))/$A$16</f>
        <v>3.0303030303030304E-2</v>
      </c>
    </row>
    <row r="170" spans="1:21" ht="15" x14ac:dyDescent="0.25">
      <c r="A170" s="46"/>
      <c r="B170" s="33"/>
      <c r="D170" s="67" t="str">
        <f>$A$24</f>
        <v>1-RUIM</v>
      </c>
      <c r="E170" s="26">
        <f>'2-Autoavaliacao-Discente-Egress'!L40</f>
        <v>0</v>
      </c>
      <c r="F170" s="27">
        <f>'2-Autoavaliacao-Discente-Egress'!L95</f>
        <v>2.8571428571428571E-2</v>
      </c>
      <c r="T170" s="68" t="str">
        <f>$A$25</f>
        <v>0-NÃO SE APLICA</v>
      </c>
      <c r="U170" s="147">
        <f>(COUNTIFS('2-Autoavaliacao-Discente-Egress'!C$2:C$33,0)+COUNTIFS('2-Autoavaliacao-Discente-Egress'!C$50:C$85,0))/$A$16</f>
        <v>1.5151515151515152E-2</v>
      </c>
    </row>
    <row r="171" spans="1:21" ht="15.6" x14ac:dyDescent="0.3">
      <c r="A171" s="46"/>
      <c r="B171" s="33"/>
      <c r="D171" s="68" t="str">
        <f>$A$25</f>
        <v>0-NÃO SE APLICA</v>
      </c>
      <c r="E171" s="28">
        <f>'2-Autoavaliacao-Discente-Egress'!L41</f>
        <v>0.12903225806451613</v>
      </c>
      <c r="F171" s="29">
        <f>'2-Autoavaliacao-Discente-Egress'!L96</f>
        <v>0.14285714285714285</v>
      </c>
      <c r="P171" s="18"/>
    </row>
    <row r="172" spans="1:21" ht="15.6" x14ac:dyDescent="0.3">
      <c r="A172" s="46"/>
      <c r="B172" s="33"/>
      <c r="P172" s="21"/>
      <c r="T172" s="79" t="str">
        <f>T163</f>
        <v>QUESTÃO 10</v>
      </c>
      <c r="U172" s="113" t="s">
        <v>255</v>
      </c>
    </row>
    <row r="173" spans="1:21" ht="15.6" x14ac:dyDescent="0.3">
      <c r="A173" s="46"/>
      <c r="B173" s="33"/>
      <c r="D173" s="112"/>
      <c r="E173" s="113" t="s">
        <v>245</v>
      </c>
      <c r="F173" s="113" t="s">
        <v>246</v>
      </c>
      <c r="G173" s="75" t="s">
        <v>251</v>
      </c>
      <c r="O173" s="16"/>
      <c r="P173" s="18"/>
      <c r="T173" s="121" t="str">
        <f>'Dashboard-1-AVALIAÇÃO INST.'!$A$29</f>
        <v>MUITO BOM / ÓTIMO</v>
      </c>
      <c r="U173" s="99">
        <f>U165+U166</f>
        <v>0.80303030303030309</v>
      </c>
    </row>
    <row r="174" spans="1:21" ht="15.6" x14ac:dyDescent="0.3">
      <c r="A174" s="46"/>
      <c r="B174" s="33"/>
      <c r="D174" s="121" t="str">
        <f>'Dashboard-1-AVALIAÇÃO INST.'!$A$29</f>
        <v>MUITO BOM / ÓTIMO</v>
      </c>
      <c r="E174" s="119">
        <f>E166+E167</f>
        <v>0.64516129032258063</v>
      </c>
      <c r="F174" s="99">
        <f>F166+F167</f>
        <v>0.77142857142857146</v>
      </c>
      <c r="G174" s="34">
        <f>(F174-E174)*100</f>
        <v>12.626728110599084</v>
      </c>
      <c r="O174" s="16"/>
      <c r="P174" s="18"/>
      <c r="T174" s="122" t="str">
        <f>'Dashboard-1-AVALIAÇÃO INST.'!$A$30</f>
        <v>BOM</v>
      </c>
      <c r="U174" s="101">
        <f>U167</f>
        <v>0.10606060606060606</v>
      </c>
    </row>
    <row r="175" spans="1:21" ht="15.6" x14ac:dyDescent="0.3">
      <c r="A175" s="46"/>
      <c r="B175" s="33"/>
      <c r="D175" s="122" t="str">
        <f>'Dashboard-1-AVALIAÇÃO INST.'!$A$30</f>
        <v>BOM</v>
      </c>
      <c r="E175" s="107">
        <f>E168</f>
        <v>9.6774193548387094E-2</v>
      </c>
      <c r="F175" s="101">
        <f>F168</f>
        <v>2.8571428571428571E-2</v>
      </c>
      <c r="G175" s="34">
        <f>(F175-E175)*100</f>
        <v>-6.8202764976958523</v>
      </c>
      <c r="O175" s="16"/>
      <c r="P175" s="18"/>
      <c r="T175" s="122" t="str">
        <f>'Dashboard-1-AVALIAÇÃO INST.'!$A$31</f>
        <v>RUIM / REGULAR</v>
      </c>
      <c r="U175" s="101">
        <f>U168+U169</f>
        <v>7.575757575757576E-2</v>
      </c>
    </row>
    <row r="176" spans="1:21" ht="15.6" x14ac:dyDescent="0.3">
      <c r="A176" s="46"/>
      <c r="B176" s="33"/>
      <c r="D176" s="122" t="str">
        <f>'Dashboard-1-AVALIAÇÃO INST.'!$A$31</f>
        <v>RUIM / REGULAR</v>
      </c>
      <c r="E176" s="107">
        <f>E169+E170</f>
        <v>0.12903225806451613</v>
      </c>
      <c r="F176" s="101">
        <f>F169+F170</f>
        <v>5.7142857142857141E-2</v>
      </c>
      <c r="G176" s="34">
        <f>(F176-E176)*100</f>
        <v>-7.1889400921658995</v>
      </c>
      <c r="O176" s="16"/>
      <c r="P176" s="18"/>
      <c r="T176" s="123" t="str">
        <f>'Dashboard-1-AVALIAÇÃO INST.'!$A$32</f>
        <v>NÃO SE APLICA / NÃO SEI</v>
      </c>
      <c r="U176" s="103">
        <f>U170</f>
        <v>1.5151515151515152E-2</v>
      </c>
    </row>
    <row r="177" spans="1:26" ht="15.6" x14ac:dyDescent="0.3">
      <c r="A177" s="46"/>
      <c r="B177" s="33"/>
      <c r="D177" s="123" t="str">
        <f>'Dashboard-1-AVALIAÇÃO INST.'!$A$32</f>
        <v>NÃO SE APLICA / NÃO SEI</v>
      </c>
      <c r="E177" s="120">
        <f>E171</f>
        <v>0.12903225806451613</v>
      </c>
      <c r="F177" s="103">
        <f>F171</f>
        <v>0.14285714285714285</v>
      </c>
      <c r="G177" s="34">
        <f>(F177-E177)*100</f>
        <v>1.3824884792626724</v>
      </c>
      <c r="O177" s="16"/>
      <c r="P177" s="18"/>
      <c r="T177" s="105">
        <f>(SUM(U173:U176))</f>
        <v>1.0000000000000002</v>
      </c>
      <c r="U177" s="106" t="str">
        <f>IF(T177=100%, "CORRETO","ERRO")</f>
        <v>CORRETO</v>
      </c>
    </row>
    <row r="178" spans="1:26" ht="15.6" x14ac:dyDescent="0.3">
      <c r="A178" s="46"/>
      <c r="B178" s="33"/>
      <c r="D178" s="105">
        <f>(SUM(E174:E177))</f>
        <v>1</v>
      </c>
      <c r="E178" s="106" t="str">
        <f>IF(D178=100%, "CORRETO","ERRO")</f>
        <v>CORRETO</v>
      </c>
      <c r="F178" s="106" t="str">
        <f>IF(D179=100%, "CORRETO","ERRO")</f>
        <v>CORRETO</v>
      </c>
      <c r="O178" s="16"/>
      <c r="P178" s="18"/>
    </row>
    <row r="179" spans="1:26" ht="15" x14ac:dyDescent="0.25">
      <c r="A179" s="46"/>
      <c r="B179" s="33"/>
      <c r="D179" s="105">
        <f>(SUM(F174:F177))</f>
        <v>1</v>
      </c>
    </row>
    <row r="180" spans="1:26" ht="30" x14ac:dyDescent="0.25">
      <c r="A180" s="46"/>
      <c r="B180" s="33"/>
      <c r="E180" s="22"/>
      <c r="F180" s="22"/>
      <c r="G180" s="22"/>
      <c r="H180" s="22"/>
      <c r="I180" s="22"/>
      <c r="J180" s="22"/>
      <c r="K180" s="22"/>
      <c r="L180" s="22"/>
      <c r="M180" s="22"/>
      <c r="N180" s="22"/>
      <c r="Q180" s="22"/>
      <c r="R180" s="22"/>
      <c r="S180" s="22"/>
      <c r="T180" s="22"/>
      <c r="U180" s="22"/>
      <c r="V180" s="22"/>
      <c r="W180" s="22"/>
      <c r="X180" s="22"/>
      <c r="Y180" s="22"/>
      <c r="Z180" s="22"/>
    </row>
    <row r="181" spans="1:26" x14ac:dyDescent="0.25">
      <c r="A181" s="46"/>
      <c r="B181" s="33"/>
    </row>
    <row r="182" spans="1:26" x14ac:dyDescent="0.25">
      <c r="A182" s="46"/>
      <c r="B182" s="33"/>
    </row>
    <row r="183" spans="1:26" x14ac:dyDescent="0.25">
      <c r="A183" s="46"/>
      <c r="B183" s="33"/>
    </row>
    <row r="184" spans="1:26" x14ac:dyDescent="0.25">
      <c r="A184" s="46"/>
      <c r="B184" s="33"/>
    </row>
    <row r="185" spans="1:26" x14ac:dyDescent="0.25">
      <c r="A185" s="46"/>
      <c r="B185" s="33"/>
    </row>
    <row r="186" spans="1:26" x14ac:dyDescent="0.25">
      <c r="A186" s="46"/>
      <c r="B186" s="33"/>
    </row>
    <row r="187" spans="1:26" x14ac:dyDescent="0.25">
      <c r="A187" s="46"/>
      <c r="B187" s="33"/>
    </row>
    <row r="188" spans="1:26" x14ac:dyDescent="0.25">
      <c r="A188" s="46"/>
      <c r="B188" s="33"/>
    </row>
    <row r="189" spans="1:26" x14ac:dyDescent="0.25">
      <c r="A189" s="46"/>
      <c r="B189" s="33"/>
    </row>
    <row r="190" spans="1:26" x14ac:dyDescent="0.25">
      <c r="A190" s="46"/>
      <c r="B190" s="33"/>
    </row>
    <row r="191" spans="1:26" x14ac:dyDescent="0.25">
      <c r="A191" s="46"/>
      <c r="B191" s="33"/>
    </row>
    <row r="192" spans="1:26" x14ac:dyDescent="0.25">
      <c r="A192" s="46"/>
      <c r="B192" s="33"/>
    </row>
    <row r="193" spans="1:2" x14ac:dyDescent="0.25">
      <c r="A193" s="46"/>
      <c r="B193" s="33"/>
    </row>
    <row r="194" spans="1:2" x14ac:dyDescent="0.25">
      <c r="A194" s="46"/>
      <c r="B194" s="33"/>
    </row>
    <row r="195" spans="1:2" x14ac:dyDescent="0.25">
      <c r="A195" s="46"/>
      <c r="B195" s="33"/>
    </row>
    <row r="196" spans="1:2" x14ac:dyDescent="0.25">
      <c r="A196" s="46"/>
      <c r="B196" s="33"/>
    </row>
    <row r="197" spans="1:2" x14ac:dyDescent="0.25">
      <c r="A197" s="46"/>
      <c r="B197" s="33"/>
    </row>
    <row r="198" spans="1:2" x14ac:dyDescent="0.25">
      <c r="A198" s="46"/>
      <c r="B198" s="33"/>
    </row>
    <row r="199" spans="1:2" x14ac:dyDescent="0.25">
      <c r="A199" s="46"/>
      <c r="B199" s="33"/>
    </row>
    <row r="200" spans="1:2" x14ac:dyDescent="0.25">
      <c r="A200" s="46"/>
      <c r="B200" s="33"/>
    </row>
    <row r="201" spans="1:2" x14ac:dyDescent="0.25">
      <c r="A201" s="46"/>
      <c r="B201" s="33"/>
    </row>
    <row r="202" spans="1:2" x14ac:dyDescent="0.25">
      <c r="A202" s="46"/>
      <c r="B202" s="33"/>
    </row>
    <row r="203" spans="1:2" x14ac:dyDescent="0.25">
      <c r="A203" s="46"/>
      <c r="B203" s="33"/>
    </row>
    <row r="204" spans="1:2" x14ac:dyDescent="0.25">
      <c r="A204" s="46"/>
      <c r="B204" s="33"/>
    </row>
    <row r="205" spans="1:2" x14ac:dyDescent="0.25">
      <c r="A205" s="46"/>
      <c r="B205" s="33"/>
    </row>
    <row r="206" spans="1:2" x14ac:dyDescent="0.25">
      <c r="A206" s="46"/>
      <c r="B206" s="33"/>
    </row>
    <row r="207" spans="1:2" x14ac:dyDescent="0.25">
      <c r="A207" s="46"/>
      <c r="B207" s="33"/>
    </row>
    <row r="208" spans="1:2" x14ac:dyDescent="0.25">
      <c r="A208" s="46"/>
      <c r="B208" s="33"/>
    </row>
    <row r="209" spans="1:2" x14ac:dyDescent="0.25">
      <c r="A209" s="46"/>
      <c r="B209" s="33"/>
    </row>
    <row r="210" spans="1:2" x14ac:dyDescent="0.25">
      <c r="A210" s="46"/>
      <c r="B210" s="33"/>
    </row>
    <row r="211" spans="1:2" x14ac:dyDescent="0.25">
      <c r="A211" s="46"/>
      <c r="B211" s="33"/>
    </row>
    <row r="212" spans="1:2" x14ac:dyDescent="0.25">
      <c r="A212" s="46"/>
      <c r="B212" s="33"/>
    </row>
    <row r="213" spans="1:2" x14ac:dyDescent="0.25">
      <c r="A213" s="46"/>
      <c r="B213" s="33"/>
    </row>
    <row r="214" spans="1:2" x14ac:dyDescent="0.25">
      <c r="A214" s="46"/>
      <c r="B214" s="33"/>
    </row>
    <row r="215" spans="1:2" x14ac:dyDescent="0.25">
      <c r="A215" s="46"/>
      <c r="B215" s="33"/>
    </row>
    <row r="216" spans="1:2" x14ac:dyDescent="0.25">
      <c r="A216" s="46"/>
      <c r="B216" s="33"/>
    </row>
    <row r="217" spans="1:2" x14ac:dyDescent="0.25">
      <c r="A217" s="46"/>
      <c r="B217" s="33"/>
    </row>
    <row r="218" spans="1:2" x14ac:dyDescent="0.25">
      <c r="A218" s="46"/>
      <c r="B218" s="33"/>
    </row>
    <row r="219" spans="1:2" x14ac:dyDescent="0.25">
      <c r="A219" s="46"/>
      <c r="B219" s="33"/>
    </row>
    <row r="220" spans="1:2" x14ac:dyDescent="0.25">
      <c r="A220" s="46"/>
      <c r="B220" s="33"/>
    </row>
    <row r="221" spans="1:2" x14ac:dyDescent="0.25">
      <c r="A221" s="46"/>
      <c r="B221" s="33"/>
    </row>
    <row r="222" spans="1:2" x14ac:dyDescent="0.25">
      <c r="A222" s="46"/>
      <c r="B222" s="33"/>
    </row>
    <row r="223" spans="1:2" x14ac:dyDescent="0.25">
      <c r="A223" s="46"/>
      <c r="B223" s="33"/>
    </row>
    <row r="224" spans="1:2" x14ac:dyDescent="0.25">
      <c r="A224" s="46"/>
      <c r="B224" s="33"/>
    </row>
    <row r="225" spans="1:2" x14ac:dyDescent="0.25">
      <c r="A225" s="46"/>
      <c r="B225" s="33"/>
    </row>
    <row r="226" spans="1:2" x14ac:dyDescent="0.25">
      <c r="A226" s="46"/>
      <c r="B226" s="33"/>
    </row>
    <row r="227" spans="1:2" x14ac:dyDescent="0.25">
      <c r="A227" s="46"/>
      <c r="B227" s="33"/>
    </row>
    <row r="228" spans="1:2" x14ac:dyDescent="0.25">
      <c r="A228" s="46"/>
      <c r="B228" s="33"/>
    </row>
    <row r="229" spans="1:2" x14ac:dyDescent="0.25">
      <c r="A229" s="46"/>
      <c r="B229" s="33"/>
    </row>
    <row r="230" spans="1:2" x14ac:dyDescent="0.25">
      <c r="A230" s="46"/>
      <c r="B230" s="33"/>
    </row>
    <row r="231" spans="1:2" x14ac:dyDescent="0.25">
      <c r="A231" s="46"/>
      <c r="B231" s="33"/>
    </row>
    <row r="232" spans="1:2" x14ac:dyDescent="0.25">
      <c r="A232" s="46"/>
      <c r="B232" s="33"/>
    </row>
    <row r="233" spans="1:2" x14ac:dyDescent="0.25">
      <c r="A233" s="46"/>
      <c r="B233" s="33"/>
    </row>
    <row r="234" spans="1:2" x14ac:dyDescent="0.25">
      <c r="A234" s="46"/>
      <c r="B234" s="33"/>
    </row>
    <row r="235" spans="1:2" x14ac:dyDescent="0.25">
      <c r="A235" s="46"/>
      <c r="B235" s="33"/>
    </row>
    <row r="236" spans="1:2" x14ac:dyDescent="0.25">
      <c r="A236" s="46"/>
      <c r="B236" s="33"/>
    </row>
    <row r="237" spans="1:2" x14ac:dyDescent="0.25">
      <c r="A237" s="46"/>
      <c r="B237" s="33"/>
    </row>
    <row r="238" spans="1:2" x14ac:dyDescent="0.25">
      <c r="A238" s="46"/>
      <c r="B238" s="33"/>
    </row>
    <row r="239" spans="1:2" x14ac:dyDescent="0.25">
      <c r="A239" s="46"/>
      <c r="B239" s="33"/>
    </row>
    <row r="240" spans="1:2" x14ac:dyDescent="0.25">
      <c r="A240" s="46"/>
      <c r="B240" s="33"/>
    </row>
    <row r="241" spans="1:2" x14ac:dyDescent="0.25">
      <c r="A241" s="46"/>
      <c r="B241" s="33"/>
    </row>
    <row r="242" spans="1:2" x14ac:dyDescent="0.25">
      <c r="A242" s="46"/>
      <c r="B242" s="33"/>
    </row>
    <row r="243" spans="1:2" x14ac:dyDescent="0.25">
      <c r="A243" s="46"/>
      <c r="B243" s="33"/>
    </row>
    <row r="244" spans="1:2" x14ac:dyDescent="0.25">
      <c r="A244" s="46"/>
      <c r="B244" s="33"/>
    </row>
    <row r="245" spans="1:2" x14ac:dyDescent="0.25">
      <c r="A245" s="46"/>
      <c r="B245" s="33"/>
    </row>
    <row r="246" spans="1:2" x14ac:dyDescent="0.25">
      <c r="A246" s="46"/>
      <c r="B246" s="33"/>
    </row>
    <row r="247" spans="1:2" x14ac:dyDescent="0.25">
      <c r="A247" s="46"/>
      <c r="B247" s="33"/>
    </row>
    <row r="248" spans="1:2" x14ac:dyDescent="0.25">
      <c r="A248" s="46"/>
      <c r="B248" s="33"/>
    </row>
    <row r="249" spans="1:2" x14ac:dyDescent="0.25">
      <c r="A249" s="46"/>
      <c r="B249" s="33"/>
    </row>
    <row r="250" spans="1:2" x14ac:dyDescent="0.25">
      <c r="A250" s="46"/>
      <c r="B250" s="33"/>
    </row>
    <row r="251" spans="1:2" x14ac:dyDescent="0.25">
      <c r="A251" s="46"/>
      <c r="B251" s="33"/>
    </row>
    <row r="252" spans="1:2" x14ac:dyDescent="0.25">
      <c r="A252" s="46"/>
      <c r="B252" s="33"/>
    </row>
    <row r="253" spans="1:2" x14ac:dyDescent="0.25">
      <c r="A253" s="46"/>
      <c r="B253" s="33"/>
    </row>
    <row r="254" spans="1:2" x14ac:dyDescent="0.25">
      <c r="A254" s="46"/>
      <c r="B254" s="33"/>
    </row>
    <row r="255" spans="1:2" x14ac:dyDescent="0.25">
      <c r="A255" s="46"/>
      <c r="B255" s="33"/>
    </row>
    <row r="256" spans="1:2" x14ac:dyDescent="0.25">
      <c r="A256" s="46"/>
      <c r="B256" s="33"/>
    </row>
    <row r="257" spans="1:2" x14ac:dyDescent="0.25">
      <c r="A257" s="46"/>
      <c r="B257" s="33"/>
    </row>
    <row r="258" spans="1:2" x14ac:dyDescent="0.25">
      <c r="A258" s="46"/>
      <c r="B258" s="33"/>
    </row>
    <row r="259" spans="1:2" x14ac:dyDescent="0.25">
      <c r="A259" s="46"/>
      <c r="B259" s="33"/>
    </row>
    <row r="260" spans="1:2" x14ac:dyDescent="0.25">
      <c r="A260" s="46"/>
      <c r="B260" s="33"/>
    </row>
    <row r="261" spans="1:2" x14ac:dyDescent="0.25">
      <c r="A261" s="46"/>
      <c r="B261" s="33"/>
    </row>
    <row r="262" spans="1:2" x14ac:dyDescent="0.25">
      <c r="A262" s="46"/>
      <c r="B262" s="33"/>
    </row>
    <row r="263" spans="1:2" x14ac:dyDescent="0.25">
      <c r="A263" s="46"/>
      <c r="B263" s="33"/>
    </row>
    <row r="264" spans="1:2" x14ac:dyDescent="0.25">
      <c r="A264" s="46"/>
      <c r="B264" s="33"/>
    </row>
    <row r="265" spans="1:2" x14ac:dyDescent="0.25">
      <c r="A265" s="46"/>
      <c r="B265" s="33"/>
    </row>
    <row r="266" spans="1:2" x14ac:dyDescent="0.25">
      <c r="A266" s="46"/>
      <c r="B266" s="33"/>
    </row>
    <row r="267" spans="1:2" x14ac:dyDescent="0.25">
      <c r="A267" s="46"/>
      <c r="B267" s="33"/>
    </row>
    <row r="268" spans="1:2" x14ac:dyDescent="0.25">
      <c r="A268" s="46"/>
      <c r="B268" s="33"/>
    </row>
    <row r="269" spans="1:2" x14ac:dyDescent="0.25">
      <c r="A269" s="46"/>
      <c r="B269" s="33"/>
    </row>
    <row r="270" spans="1:2" x14ac:dyDescent="0.25">
      <c r="A270" s="46"/>
      <c r="B270" s="33"/>
    </row>
    <row r="271" spans="1:2" x14ac:dyDescent="0.25">
      <c r="A271" s="46"/>
      <c r="B271" s="33"/>
    </row>
    <row r="272" spans="1:2" x14ac:dyDescent="0.25">
      <c r="A272" s="46"/>
      <c r="B272" s="33"/>
    </row>
    <row r="273" spans="1:2" x14ac:dyDescent="0.25">
      <c r="A273" s="46"/>
      <c r="B273" s="33"/>
    </row>
    <row r="274" spans="1:2" x14ac:dyDescent="0.25">
      <c r="A274" s="46"/>
      <c r="B274" s="33"/>
    </row>
    <row r="275" spans="1:2" x14ac:dyDescent="0.25">
      <c r="A275" s="46"/>
      <c r="B275" s="33"/>
    </row>
    <row r="276" spans="1:2" x14ac:dyDescent="0.25">
      <c r="A276" s="46"/>
      <c r="B276" s="33"/>
    </row>
    <row r="277" spans="1:2" x14ac:dyDescent="0.25">
      <c r="A277" s="46"/>
      <c r="B277" s="33"/>
    </row>
    <row r="278" spans="1:2" x14ac:dyDescent="0.25">
      <c r="A278" s="46"/>
      <c r="B278" s="33"/>
    </row>
    <row r="279" spans="1:2" x14ac:dyDescent="0.25">
      <c r="A279" s="46"/>
      <c r="B279" s="33"/>
    </row>
    <row r="280" spans="1:2" x14ac:dyDescent="0.25">
      <c r="A280" s="46"/>
      <c r="B280" s="33"/>
    </row>
    <row r="281" spans="1:2" x14ac:dyDescent="0.25">
      <c r="A281" s="46"/>
      <c r="B281" s="33"/>
    </row>
    <row r="282" spans="1:2" x14ac:dyDescent="0.25">
      <c r="A282" s="46"/>
      <c r="B282" s="33"/>
    </row>
    <row r="283" spans="1:2" x14ac:dyDescent="0.25">
      <c r="A283" s="46"/>
      <c r="B283" s="33"/>
    </row>
    <row r="284" spans="1:2" x14ac:dyDescent="0.25">
      <c r="A284" s="46"/>
      <c r="B284" s="33"/>
    </row>
    <row r="285" spans="1:2" x14ac:dyDescent="0.25">
      <c r="A285" s="46"/>
      <c r="B285" s="33"/>
    </row>
    <row r="286" spans="1:2" x14ac:dyDescent="0.25">
      <c r="A286" s="46"/>
      <c r="B286" s="33"/>
    </row>
    <row r="287" spans="1:2" x14ac:dyDescent="0.25">
      <c r="A287" s="46"/>
      <c r="B287" s="33"/>
    </row>
    <row r="288" spans="1:2" x14ac:dyDescent="0.25">
      <c r="A288" s="46"/>
      <c r="B288" s="33"/>
    </row>
    <row r="289" spans="1:2" x14ac:dyDescent="0.25">
      <c r="A289" s="46"/>
      <c r="B289" s="33"/>
    </row>
    <row r="290" spans="1:2" x14ac:dyDescent="0.25">
      <c r="A290" s="46"/>
      <c r="B290" s="33"/>
    </row>
    <row r="291" spans="1:2" x14ac:dyDescent="0.25">
      <c r="A291" s="46"/>
      <c r="B291" s="33"/>
    </row>
    <row r="292" spans="1:2" x14ac:dyDescent="0.25">
      <c r="A292" s="46"/>
      <c r="B292" s="33"/>
    </row>
    <row r="293" spans="1:2" x14ac:dyDescent="0.25">
      <c r="A293" s="46"/>
      <c r="B293" s="33"/>
    </row>
    <row r="294" spans="1:2" x14ac:dyDescent="0.25">
      <c r="A294" s="46"/>
      <c r="B294" s="33"/>
    </row>
    <row r="295" spans="1:2" x14ac:dyDescent="0.25">
      <c r="A295" s="46"/>
      <c r="B295" s="33"/>
    </row>
    <row r="296" spans="1:2" x14ac:dyDescent="0.25">
      <c r="A296" s="46"/>
      <c r="B296" s="33"/>
    </row>
    <row r="297" spans="1:2" x14ac:dyDescent="0.25">
      <c r="A297" s="46"/>
      <c r="B297" s="33"/>
    </row>
    <row r="298" spans="1:2" x14ac:dyDescent="0.25">
      <c r="A298" s="46"/>
      <c r="B298" s="33"/>
    </row>
    <row r="299" spans="1:2" x14ac:dyDescent="0.25">
      <c r="A299" s="46"/>
      <c r="B299" s="33"/>
    </row>
    <row r="300" spans="1:2" x14ac:dyDescent="0.25">
      <c r="A300" s="46"/>
      <c r="B300" s="33"/>
    </row>
    <row r="301" spans="1:2" x14ac:dyDescent="0.25">
      <c r="A301" s="46"/>
      <c r="B301" s="33"/>
    </row>
    <row r="302" spans="1:2" x14ac:dyDescent="0.25">
      <c r="A302" s="46"/>
      <c r="B302" s="33"/>
    </row>
    <row r="303" spans="1:2" x14ac:dyDescent="0.25">
      <c r="A303" s="46"/>
      <c r="B303" s="33"/>
    </row>
    <row r="304" spans="1:2" x14ac:dyDescent="0.25">
      <c r="A304" s="46"/>
      <c r="B304" s="33"/>
    </row>
    <row r="305" spans="1:2" x14ac:dyDescent="0.25">
      <c r="A305" s="46"/>
      <c r="B305" s="33"/>
    </row>
    <row r="306" spans="1:2" x14ac:dyDescent="0.25">
      <c r="A306" s="46"/>
      <c r="B306" s="33"/>
    </row>
    <row r="307" spans="1:2" x14ac:dyDescent="0.25">
      <c r="A307" s="46"/>
      <c r="B307" s="33"/>
    </row>
    <row r="308" spans="1:2" x14ac:dyDescent="0.25">
      <c r="A308" s="46"/>
      <c r="B308" s="33"/>
    </row>
    <row r="309" spans="1:2" x14ac:dyDescent="0.25">
      <c r="A309" s="46"/>
      <c r="B309" s="33"/>
    </row>
    <row r="310" spans="1:2" x14ac:dyDescent="0.25">
      <c r="A310" s="46"/>
      <c r="B310" s="33"/>
    </row>
    <row r="311" spans="1:2" x14ac:dyDescent="0.25">
      <c r="A311" s="46"/>
      <c r="B311" s="33"/>
    </row>
    <row r="312" spans="1:2" x14ac:dyDescent="0.25">
      <c r="A312" s="46"/>
      <c r="B312" s="33"/>
    </row>
    <row r="313" spans="1:2" x14ac:dyDescent="0.25">
      <c r="A313" s="46"/>
      <c r="B313" s="33"/>
    </row>
    <row r="314" spans="1:2" x14ac:dyDescent="0.25">
      <c r="A314" s="46"/>
      <c r="B314" s="33"/>
    </row>
    <row r="315" spans="1:2" x14ac:dyDescent="0.25">
      <c r="A315" s="46"/>
      <c r="B315" s="33"/>
    </row>
    <row r="316" spans="1:2" x14ac:dyDescent="0.25">
      <c r="A316" s="46"/>
      <c r="B316" s="33"/>
    </row>
    <row r="317" spans="1:2" x14ac:dyDescent="0.25">
      <c r="A317" s="46"/>
      <c r="B317" s="33"/>
    </row>
    <row r="318" spans="1:2" x14ac:dyDescent="0.25">
      <c r="A318" s="46"/>
      <c r="B318" s="33"/>
    </row>
    <row r="319" spans="1:2" x14ac:dyDescent="0.25">
      <c r="A319" s="46"/>
      <c r="B319" s="33"/>
    </row>
    <row r="320" spans="1:2" x14ac:dyDescent="0.25">
      <c r="A320" s="46"/>
      <c r="B320" s="33"/>
    </row>
    <row r="321" spans="1:2" x14ac:dyDescent="0.25">
      <c r="A321" s="46"/>
      <c r="B321" s="33"/>
    </row>
    <row r="322" spans="1:2" x14ac:dyDescent="0.25">
      <c r="A322" s="46"/>
      <c r="B322" s="33"/>
    </row>
    <row r="323" spans="1:2" x14ac:dyDescent="0.25">
      <c r="A323" s="46"/>
      <c r="B323" s="33"/>
    </row>
    <row r="324" spans="1:2" x14ac:dyDescent="0.25">
      <c r="A324" s="46"/>
    </row>
    <row r="325" spans="1:2" x14ac:dyDescent="0.25">
      <c r="A325" s="46"/>
    </row>
    <row r="326" spans="1:2" x14ac:dyDescent="0.25">
      <c r="A326" s="46"/>
    </row>
    <row r="327" spans="1:2" x14ac:dyDescent="0.25">
      <c r="A327" s="46"/>
    </row>
    <row r="328" spans="1:2" x14ac:dyDescent="0.25">
      <c r="A328" s="46"/>
    </row>
    <row r="329" spans="1:2" x14ac:dyDescent="0.25">
      <c r="A329" s="46"/>
    </row>
    <row r="330" spans="1:2" x14ac:dyDescent="0.25">
      <c r="A330" s="46"/>
    </row>
    <row r="331" spans="1:2" x14ac:dyDescent="0.25">
      <c r="A331" s="46"/>
    </row>
    <row r="332" spans="1:2" x14ac:dyDescent="0.25">
      <c r="A332" s="46"/>
    </row>
    <row r="333" spans="1:2" x14ac:dyDescent="0.25">
      <c r="A333" s="46"/>
    </row>
    <row r="334" spans="1:2" x14ac:dyDescent="0.25">
      <c r="A334" s="46"/>
    </row>
    <row r="335" spans="1:2" x14ac:dyDescent="0.25">
      <c r="A335" s="46"/>
    </row>
    <row r="336" spans="1:2" x14ac:dyDescent="0.25">
      <c r="A336" s="46"/>
    </row>
    <row r="337" spans="1:1" x14ac:dyDescent="0.25">
      <c r="A337" s="46"/>
    </row>
    <row r="338" spans="1:1" x14ac:dyDescent="0.25">
      <c r="A338" s="46"/>
    </row>
    <row r="339" spans="1:1" x14ac:dyDescent="0.25">
      <c r="A339" s="46"/>
    </row>
    <row r="340" spans="1:1" x14ac:dyDescent="0.25">
      <c r="A340" s="46"/>
    </row>
    <row r="341" spans="1:1" x14ac:dyDescent="0.25">
      <c r="A341" s="46"/>
    </row>
    <row r="342" spans="1:1" x14ac:dyDescent="0.25">
      <c r="A342" s="46"/>
    </row>
    <row r="343" spans="1:1" x14ac:dyDescent="0.25">
      <c r="A343" s="46"/>
    </row>
    <row r="344" spans="1:1" x14ac:dyDescent="0.25">
      <c r="A344" s="46"/>
    </row>
    <row r="345" spans="1:1" x14ac:dyDescent="0.25">
      <c r="A345" s="46"/>
    </row>
    <row r="346" spans="1:1" x14ac:dyDescent="0.25">
      <c r="A346" s="46"/>
    </row>
    <row r="347" spans="1:1" x14ac:dyDescent="0.25">
      <c r="A347" s="46"/>
    </row>
    <row r="348" spans="1:1" x14ac:dyDescent="0.25">
      <c r="A348" s="46"/>
    </row>
    <row r="349" spans="1:1" x14ac:dyDescent="0.25">
      <c r="A349" s="46"/>
    </row>
    <row r="350" spans="1:1" x14ac:dyDescent="0.25">
      <c r="A350" s="46"/>
    </row>
    <row r="351" spans="1:1" x14ac:dyDescent="0.25">
      <c r="A351" s="46"/>
    </row>
    <row r="352" spans="1:1" x14ac:dyDescent="0.25">
      <c r="A352" s="46"/>
    </row>
    <row r="353" spans="1:1" x14ac:dyDescent="0.25">
      <c r="A353" s="46"/>
    </row>
    <row r="354" spans="1:1" x14ac:dyDescent="0.25">
      <c r="A354" s="46"/>
    </row>
    <row r="355" spans="1:1" x14ac:dyDescent="0.25">
      <c r="A355" s="46"/>
    </row>
    <row r="356" spans="1:1" x14ac:dyDescent="0.25">
      <c r="A356" s="46"/>
    </row>
    <row r="357" spans="1:1" x14ac:dyDescent="0.25">
      <c r="A357" s="46"/>
    </row>
    <row r="358" spans="1:1" x14ac:dyDescent="0.25">
      <c r="A358" s="46"/>
    </row>
    <row r="359" spans="1:1" x14ac:dyDescent="0.25">
      <c r="A359" s="46"/>
    </row>
    <row r="360" spans="1:1" x14ac:dyDescent="0.25">
      <c r="A360" s="46"/>
    </row>
    <row r="361" spans="1:1" x14ac:dyDescent="0.25">
      <c r="A361" s="46"/>
    </row>
    <row r="362" spans="1:1" x14ac:dyDescent="0.25">
      <c r="A362" s="46"/>
    </row>
    <row r="363" spans="1:1" x14ac:dyDescent="0.25">
      <c r="A363" s="46"/>
    </row>
    <row r="364" spans="1:1" x14ac:dyDescent="0.25">
      <c r="A364" s="46"/>
    </row>
    <row r="365" spans="1:1" x14ac:dyDescent="0.25">
      <c r="A365" s="46"/>
    </row>
    <row r="366" spans="1:1" x14ac:dyDescent="0.25">
      <c r="A366" s="46"/>
    </row>
    <row r="367" spans="1:1" x14ac:dyDescent="0.25">
      <c r="A367" s="46"/>
    </row>
    <row r="368" spans="1:1" x14ac:dyDescent="0.25">
      <c r="A368" s="46"/>
    </row>
    <row r="369" spans="1:1" x14ac:dyDescent="0.25">
      <c r="A369" s="46"/>
    </row>
    <row r="370" spans="1:1" x14ac:dyDescent="0.25">
      <c r="A370" s="46"/>
    </row>
    <row r="371" spans="1:1" x14ac:dyDescent="0.25">
      <c r="A371" s="46"/>
    </row>
    <row r="372" spans="1:1" x14ac:dyDescent="0.25">
      <c r="A372" s="46"/>
    </row>
    <row r="373" spans="1:1" x14ac:dyDescent="0.25">
      <c r="A373" s="46"/>
    </row>
    <row r="374" spans="1:1" x14ac:dyDescent="0.25">
      <c r="A374" s="46"/>
    </row>
    <row r="375" spans="1:1" x14ac:dyDescent="0.25">
      <c r="A375" s="46"/>
    </row>
    <row r="376" spans="1:1" x14ac:dyDescent="0.25">
      <c r="A376" s="46"/>
    </row>
    <row r="377" spans="1:1" x14ac:dyDescent="0.25">
      <c r="A377" s="46"/>
    </row>
    <row r="378" spans="1:1" x14ac:dyDescent="0.25">
      <c r="A378" s="46"/>
    </row>
    <row r="379" spans="1:1" x14ac:dyDescent="0.25">
      <c r="A379" s="46"/>
    </row>
    <row r="380" spans="1:1" x14ac:dyDescent="0.25">
      <c r="A380" s="46"/>
    </row>
    <row r="381" spans="1:1" x14ac:dyDescent="0.25">
      <c r="A381" s="46"/>
    </row>
    <row r="382" spans="1:1" x14ac:dyDescent="0.25">
      <c r="A382" s="46"/>
    </row>
    <row r="383" spans="1:1" x14ac:dyDescent="0.25">
      <c r="A383" s="46"/>
    </row>
    <row r="384" spans="1:1" x14ac:dyDescent="0.25">
      <c r="A384" s="46"/>
    </row>
    <row r="385" spans="1:1" x14ac:dyDescent="0.25">
      <c r="A385" s="46"/>
    </row>
    <row r="386" spans="1:1" x14ac:dyDescent="0.25">
      <c r="A386" s="46"/>
    </row>
    <row r="387" spans="1:1" x14ac:dyDescent="0.25">
      <c r="A387" s="46"/>
    </row>
    <row r="388" spans="1:1" x14ac:dyDescent="0.25">
      <c r="A388" s="46"/>
    </row>
    <row r="389" spans="1:1" x14ac:dyDescent="0.25">
      <c r="A389" s="46"/>
    </row>
    <row r="390" spans="1:1" x14ac:dyDescent="0.25">
      <c r="A390" s="46"/>
    </row>
    <row r="391" spans="1:1" x14ac:dyDescent="0.25">
      <c r="A391" s="46"/>
    </row>
    <row r="392" spans="1:1" x14ac:dyDescent="0.25">
      <c r="A392" s="46"/>
    </row>
    <row r="393" spans="1:1" x14ac:dyDescent="0.25">
      <c r="A393" s="46"/>
    </row>
    <row r="394" spans="1:1" x14ac:dyDescent="0.25">
      <c r="A394" s="46"/>
    </row>
    <row r="395" spans="1:1" x14ac:dyDescent="0.25">
      <c r="A395" s="46"/>
    </row>
    <row r="396" spans="1:1" x14ac:dyDescent="0.25">
      <c r="A396" s="46"/>
    </row>
    <row r="397" spans="1:1" x14ac:dyDescent="0.25">
      <c r="A397" s="46"/>
    </row>
    <row r="398" spans="1:1" x14ac:dyDescent="0.25">
      <c r="A398" s="46"/>
    </row>
    <row r="399" spans="1:1" x14ac:dyDescent="0.25">
      <c r="A399" s="46"/>
    </row>
    <row r="400" spans="1:1" x14ac:dyDescent="0.25">
      <c r="A400" s="46"/>
    </row>
    <row r="401" spans="1:1" x14ac:dyDescent="0.25">
      <c r="A401" s="46"/>
    </row>
    <row r="402" spans="1:1" x14ac:dyDescent="0.25">
      <c r="A402" s="46"/>
    </row>
    <row r="403" spans="1:1" x14ac:dyDescent="0.25">
      <c r="A403" s="46"/>
    </row>
    <row r="404" spans="1:1" x14ac:dyDescent="0.25">
      <c r="A404" s="46"/>
    </row>
    <row r="405" spans="1:1" x14ac:dyDescent="0.25">
      <c r="A405" s="46"/>
    </row>
    <row r="406" spans="1:1" x14ac:dyDescent="0.25">
      <c r="A406" s="46"/>
    </row>
    <row r="407" spans="1:1" x14ac:dyDescent="0.25">
      <c r="A407" s="46"/>
    </row>
    <row r="408" spans="1:1" x14ac:dyDescent="0.25">
      <c r="A408" s="46"/>
    </row>
    <row r="409" spans="1:1" x14ac:dyDescent="0.25">
      <c r="A409" s="46"/>
    </row>
    <row r="410" spans="1:1" x14ac:dyDescent="0.25">
      <c r="A410" s="46"/>
    </row>
    <row r="411" spans="1:1" x14ac:dyDescent="0.25">
      <c r="A411" s="46"/>
    </row>
    <row r="412" spans="1:1" x14ac:dyDescent="0.25">
      <c r="A412" s="46"/>
    </row>
    <row r="413" spans="1:1" x14ac:dyDescent="0.25">
      <c r="A413" s="46"/>
    </row>
    <row r="414" spans="1:1" x14ac:dyDescent="0.25">
      <c r="A414" s="46"/>
    </row>
    <row r="415" spans="1:1" x14ac:dyDescent="0.25">
      <c r="A415" s="46"/>
    </row>
    <row r="416" spans="1:1" x14ac:dyDescent="0.25">
      <c r="A416" s="46"/>
    </row>
    <row r="417" spans="1:1" x14ac:dyDescent="0.25">
      <c r="A417" s="46"/>
    </row>
    <row r="418" spans="1:1" x14ac:dyDescent="0.25">
      <c r="A418" s="46"/>
    </row>
    <row r="419" spans="1:1" x14ac:dyDescent="0.25">
      <c r="A419" s="46"/>
    </row>
    <row r="420" spans="1:1" x14ac:dyDescent="0.25">
      <c r="A420" s="46"/>
    </row>
    <row r="421" spans="1:1" x14ac:dyDescent="0.25">
      <c r="A421" s="46"/>
    </row>
    <row r="422" spans="1:1" x14ac:dyDescent="0.25">
      <c r="A422" s="46"/>
    </row>
    <row r="423" spans="1:1" x14ac:dyDescent="0.25">
      <c r="A423" s="46"/>
    </row>
    <row r="424" spans="1:1" x14ac:dyDescent="0.25">
      <c r="A424" s="46"/>
    </row>
    <row r="425" spans="1:1" x14ac:dyDescent="0.25">
      <c r="A425" s="46"/>
    </row>
    <row r="426" spans="1:1" x14ac:dyDescent="0.25">
      <c r="A426" s="46"/>
    </row>
    <row r="427" spans="1:1" x14ac:dyDescent="0.25">
      <c r="A427" s="46"/>
    </row>
    <row r="428" spans="1:1" x14ac:dyDescent="0.25">
      <c r="A428" s="46"/>
    </row>
    <row r="429" spans="1:1" x14ac:dyDescent="0.25">
      <c r="A429" s="46"/>
    </row>
    <row r="430" spans="1:1" x14ac:dyDescent="0.25">
      <c r="A430" s="46"/>
    </row>
    <row r="431" spans="1:1" x14ac:dyDescent="0.25">
      <c r="A431" s="46"/>
    </row>
    <row r="432" spans="1:1" x14ac:dyDescent="0.25">
      <c r="A432" s="46"/>
    </row>
    <row r="433" spans="1:1" x14ac:dyDescent="0.25">
      <c r="A433" s="46"/>
    </row>
    <row r="434" spans="1:1" x14ac:dyDescent="0.25">
      <c r="A434" s="46"/>
    </row>
    <row r="435" spans="1:1" x14ac:dyDescent="0.25">
      <c r="A435" s="46"/>
    </row>
    <row r="436" spans="1:1" x14ac:dyDescent="0.25">
      <c r="A436" s="46"/>
    </row>
    <row r="437" spans="1:1" x14ac:dyDescent="0.25">
      <c r="A437" s="46"/>
    </row>
    <row r="438" spans="1:1" x14ac:dyDescent="0.25">
      <c r="A438" s="46"/>
    </row>
    <row r="439" spans="1:1" x14ac:dyDescent="0.25">
      <c r="A439" s="46"/>
    </row>
    <row r="440" spans="1:1" x14ac:dyDescent="0.25">
      <c r="A440" s="46"/>
    </row>
    <row r="441" spans="1:1" x14ac:dyDescent="0.25">
      <c r="A441" s="46"/>
    </row>
    <row r="442" spans="1:1" x14ac:dyDescent="0.25">
      <c r="A442" s="46"/>
    </row>
    <row r="443" spans="1:1" x14ac:dyDescent="0.25">
      <c r="A443" s="46"/>
    </row>
    <row r="444" spans="1:1" x14ac:dyDescent="0.25">
      <c r="A444" s="46"/>
    </row>
    <row r="445" spans="1:1" x14ac:dyDescent="0.25">
      <c r="A445" s="46"/>
    </row>
    <row r="446" spans="1:1" x14ac:dyDescent="0.25">
      <c r="A446" s="46"/>
    </row>
    <row r="447" spans="1:1" x14ac:dyDescent="0.25">
      <c r="A447" s="46"/>
    </row>
    <row r="448" spans="1:1" x14ac:dyDescent="0.25">
      <c r="A448" s="46"/>
    </row>
    <row r="449" spans="1:1" x14ac:dyDescent="0.25">
      <c r="A449" s="46"/>
    </row>
    <row r="450" spans="1:1" x14ac:dyDescent="0.25">
      <c r="A450" s="46"/>
    </row>
    <row r="451" spans="1:1" x14ac:dyDescent="0.25">
      <c r="A451" s="46"/>
    </row>
    <row r="452" spans="1:1" x14ac:dyDescent="0.25">
      <c r="A452" s="46"/>
    </row>
    <row r="453" spans="1:1" x14ac:dyDescent="0.25">
      <c r="A453" s="46"/>
    </row>
    <row r="454" spans="1:1" x14ac:dyDescent="0.25">
      <c r="A454" s="46"/>
    </row>
    <row r="455" spans="1:1" x14ac:dyDescent="0.25">
      <c r="A455" s="46"/>
    </row>
    <row r="456" spans="1:1" x14ac:dyDescent="0.25">
      <c r="A456" s="46"/>
    </row>
    <row r="457" spans="1:1" x14ac:dyDescent="0.25">
      <c r="A457" s="46"/>
    </row>
    <row r="458" spans="1:1" x14ac:dyDescent="0.25">
      <c r="A458" s="46"/>
    </row>
    <row r="459" spans="1:1" x14ac:dyDescent="0.25">
      <c r="A459" s="46"/>
    </row>
    <row r="460" spans="1:1" x14ac:dyDescent="0.25">
      <c r="A460" s="46"/>
    </row>
    <row r="461" spans="1:1" x14ac:dyDescent="0.25">
      <c r="A461" s="46"/>
    </row>
    <row r="462" spans="1:1" x14ac:dyDescent="0.25">
      <c r="A462" s="46"/>
    </row>
    <row r="463" spans="1:1" x14ac:dyDescent="0.25">
      <c r="A463" s="46"/>
    </row>
    <row r="464" spans="1:1" x14ac:dyDescent="0.25">
      <c r="A464" s="46"/>
    </row>
    <row r="465" spans="1:1" x14ac:dyDescent="0.25">
      <c r="A465" s="46"/>
    </row>
    <row r="466" spans="1:1" x14ac:dyDescent="0.25">
      <c r="A466" s="46"/>
    </row>
    <row r="467" spans="1:1" x14ac:dyDescent="0.25">
      <c r="A467" s="46"/>
    </row>
    <row r="468" spans="1:1" x14ac:dyDescent="0.25">
      <c r="A468" s="46"/>
    </row>
    <row r="469" spans="1:1" x14ac:dyDescent="0.25">
      <c r="A469" s="46"/>
    </row>
    <row r="470" spans="1:1" x14ac:dyDescent="0.25">
      <c r="A470" s="46"/>
    </row>
    <row r="471" spans="1:1" x14ac:dyDescent="0.25">
      <c r="A471" s="46"/>
    </row>
    <row r="472" spans="1:1" x14ac:dyDescent="0.25">
      <c r="A472" s="46"/>
    </row>
    <row r="473" spans="1:1" x14ac:dyDescent="0.25">
      <c r="A473" s="46"/>
    </row>
    <row r="474" spans="1:1" x14ac:dyDescent="0.25">
      <c r="A474" s="46"/>
    </row>
    <row r="475" spans="1:1" x14ac:dyDescent="0.25">
      <c r="A475" s="46"/>
    </row>
    <row r="476" spans="1:1" x14ac:dyDescent="0.25">
      <c r="A476" s="46"/>
    </row>
    <row r="477" spans="1:1" x14ac:dyDescent="0.25">
      <c r="A477" s="46"/>
    </row>
    <row r="478" spans="1:1" x14ac:dyDescent="0.25">
      <c r="A478" s="46"/>
    </row>
    <row r="479" spans="1:1" x14ac:dyDescent="0.25">
      <c r="A479" s="46"/>
    </row>
    <row r="480" spans="1:1" x14ac:dyDescent="0.25">
      <c r="A480" s="46"/>
    </row>
    <row r="481" spans="1:1" x14ac:dyDescent="0.25">
      <c r="A481" s="46"/>
    </row>
    <row r="482" spans="1:1" x14ac:dyDescent="0.25">
      <c r="A482" s="46"/>
    </row>
    <row r="483" spans="1:1" x14ac:dyDescent="0.25">
      <c r="A483" s="46"/>
    </row>
    <row r="484" spans="1:1" x14ac:dyDescent="0.25">
      <c r="A484" s="46"/>
    </row>
    <row r="485" spans="1:1" x14ac:dyDescent="0.25">
      <c r="A485" s="46"/>
    </row>
    <row r="486" spans="1:1" x14ac:dyDescent="0.25">
      <c r="A486" s="46"/>
    </row>
    <row r="487" spans="1:1" x14ac:dyDescent="0.25">
      <c r="A487" s="46"/>
    </row>
    <row r="488" spans="1:1" x14ac:dyDescent="0.25">
      <c r="A488" s="46"/>
    </row>
    <row r="489" spans="1:1" x14ac:dyDescent="0.25">
      <c r="A489" s="46"/>
    </row>
    <row r="490" spans="1:1" x14ac:dyDescent="0.25">
      <c r="A490" s="46"/>
    </row>
    <row r="491" spans="1:1" x14ac:dyDescent="0.25">
      <c r="A491" s="46"/>
    </row>
    <row r="492" spans="1:1" x14ac:dyDescent="0.25">
      <c r="A492" s="46"/>
    </row>
    <row r="493" spans="1:1" x14ac:dyDescent="0.25">
      <c r="A493" s="46"/>
    </row>
    <row r="494" spans="1:1" x14ac:dyDescent="0.25">
      <c r="A494" s="46"/>
    </row>
    <row r="495" spans="1:1" x14ac:dyDescent="0.25">
      <c r="A495" s="46"/>
    </row>
    <row r="496" spans="1:1" x14ac:dyDescent="0.25">
      <c r="A496" s="46"/>
    </row>
    <row r="497" spans="1:1" x14ac:dyDescent="0.25">
      <c r="A497" s="46"/>
    </row>
    <row r="498" spans="1:1" x14ac:dyDescent="0.25">
      <c r="A498" s="46"/>
    </row>
    <row r="499" spans="1:1" x14ac:dyDescent="0.25">
      <c r="A499" s="46"/>
    </row>
    <row r="500" spans="1:1" x14ac:dyDescent="0.25">
      <c r="A500" s="46"/>
    </row>
    <row r="501" spans="1:1" x14ac:dyDescent="0.25">
      <c r="A501" s="46"/>
    </row>
    <row r="502" spans="1:1" x14ac:dyDescent="0.25">
      <c r="A502" s="46"/>
    </row>
    <row r="503" spans="1:1" x14ac:dyDescent="0.25">
      <c r="A503" s="46"/>
    </row>
    <row r="504" spans="1:1" x14ac:dyDescent="0.25">
      <c r="A504" s="46"/>
    </row>
    <row r="505" spans="1:1" x14ac:dyDescent="0.25">
      <c r="A505" s="46"/>
    </row>
    <row r="506" spans="1:1" x14ac:dyDescent="0.25">
      <c r="A506" s="46"/>
    </row>
    <row r="507" spans="1:1" x14ac:dyDescent="0.25">
      <c r="A507" s="46"/>
    </row>
    <row r="508" spans="1:1" x14ac:dyDescent="0.25">
      <c r="A508" s="46"/>
    </row>
    <row r="509" spans="1:1" x14ac:dyDescent="0.25">
      <c r="A509" s="46"/>
    </row>
    <row r="510" spans="1:1" x14ac:dyDescent="0.25">
      <c r="A510" s="46"/>
    </row>
    <row r="511" spans="1:1" x14ac:dyDescent="0.25">
      <c r="A511" s="46"/>
    </row>
    <row r="512" spans="1:1" x14ac:dyDescent="0.25">
      <c r="A512" s="46"/>
    </row>
    <row r="513" spans="1:1" x14ac:dyDescent="0.25">
      <c r="A513" s="46"/>
    </row>
    <row r="514" spans="1:1" x14ac:dyDescent="0.25">
      <c r="A514" s="46"/>
    </row>
    <row r="515" spans="1:1" x14ac:dyDescent="0.25">
      <c r="A515" s="46"/>
    </row>
    <row r="516" spans="1:1" x14ac:dyDescent="0.25">
      <c r="A516" s="46"/>
    </row>
    <row r="517" spans="1:1" x14ac:dyDescent="0.25">
      <c r="A517" s="46"/>
    </row>
    <row r="518" spans="1:1" x14ac:dyDescent="0.25">
      <c r="A518" s="46"/>
    </row>
    <row r="519" spans="1:1" x14ac:dyDescent="0.25">
      <c r="A519" s="46"/>
    </row>
    <row r="520" spans="1:1" x14ac:dyDescent="0.25">
      <c r="A520" s="46"/>
    </row>
    <row r="521" spans="1:1" x14ac:dyDescent="0.25">
      <c r="A521" s="46"/>
    </row>
    <row r="522" spans="1:1" x14ac:dyDescent="0.25">
      <c r="A522" s="46"/>
    </row>
    <row r="523" spans="1:1" x14ac:dyDescent="0.25">
      <c r="A523" s="46"/>
    </row>
    <row r="524" spans="1:1" x14ac:dyDescent="0.25">
      <c r="A524" s="46"/>
    </row>
    <row r="525" spans="1:1" x14ac:dyDescent="0.25">
      <c r="A525" s="46"/>
    </row>
    <row r="526" spans="1:1" x14ac:dyDescent="0.25">
      <c r="A526" s="46"/>
    </row>
    <row r="527" spans="1:1" x14ac:dyDescent="0.25">
      <c r="A527" s="46"/>
    </row>
    <row r="528" spans="1:1" x14ac:dyDescent="0.25">
      <c r="A528" s="46"/>
    </row>
    <row r="529" spans="1:1" x14ac:dyDescent="0.25">
      <c r="A529" s="46"/>
    </row>
    <row r="530" spans="1:1" x14ac:dyDescent="0.25">
      <c r="A530" s="46"/>
    </row>
    <row r="531" spans="1:1" x14ac:dyDescent="0.25">
      <c r="A531" s="46"/>
    </row>
    <row r="532" spans="1:1" x14ac:dyDescent="0.25">
      <c r="A532" s="46"/>
    </row>
    <row r="533" spans="1:1" x14ac:dyDescent="0.25">
      <c r="A533" s="46"/>
    </row>
    <row r="534" spans="1:1" x14ac:dyDescent="0.25">
      <c r="A534" s="46"/>
    </row>
    <row r="535" spans="1:1" x14ac:dyDescent="0.25">
      <c r="A535" s="46"/>
    </row>
    <row r="536" spans="1:1" x14ac:dyDescent="0.25">
      <c r="A536" s="46"/>
    </row>
    <row r="537" spans="1:1" x14ac:dyDescent="0.25">
      <c r="A537" s="46"/>
    </row>
  </sheetData>
  <mergeCells count="3">
    <mergeCell ref="A53:A54"/>
    <mergeCell ref="E2:S5"/>
    <mergeCell ref="A18:A19"/>
  </mergeCells>
  <conditionalFormatting sqref="A32">
    <cfRule type="cellIs" dxfId="120" priority="1582" operator="lessThan">
      <formula>$A$29</formula>
    </cfRule>
  </conditionalFormatting>
  <conditionalFormatting sqref="A53">
    <cfRule type="iconSet" priority="1580">
      <iconSet iconSet="3Arrows">
        <cfvo type="percent" val="0"/>
        <cfvo type="percent" val="33"/>
        <cfvo type="percent" val="67"/>
      </iconSet>
    </cfRule>
    <cfRule type="iconSet" priority="1579">
      <iconSet iconSet="3Arrows">
        <cfvo type="percent" val="0"/>
        <cfvo type="num" val="0"/>
        <cfvo type="num" val="$A$29"/>
      </iconSet>
    </cfRule>
    <cfRule type="cellIs" dxfId="119" priority="1581" operator="lessThan">
      <formula>0</formula>
    </cfRule>
  </conditionalFormatting>
  <conditionalFormatting sqref="A53:A54">
    <cfRule type="iconSet" priority="556">
      <iconSet iconSet="3Arrows">
        <cfvo type="percent" val="0"/>
        <cfvo type="percent" val="33"/>
        <cfvo type="percent" val="67"/>
      </iconSet>
    </cfRule>
  </conditionalFormatting>
  <conditionalFormatting sqref="E22:F22">
    <cfRule type="containsText" dxfId="118" priority="213" operator="containsText" text="ERRO">
      <formula>NOT(ISERROR(SEARCH("ERRO",E22)))</formula>
    </cfRule>
  </conditionalFormatting>
  <conditionalFormatting sqref="E41:F41">
    <cfRule type="containsText" dxfId="117" priority="169" operator="containsText" text="ERRO">
      <formula>NOT(ISERROR(SEARCH("ERRO",E41)))</formula>
    </cfRule>
  </conditionalFormatting>
  <conditionalFormatting sqref="E60:F60">
    <cfRule type="containsText" dxfId="116" priority="147" operator="containsText" text="ERRO">
      <formula>NOT(ISERROR(SEARCH("ERRO",E60)))</formula>
    </cfRule>
  </conditionalFormatting>
  <conditionalFormatting sqref="E82:F82">
    <cfRule type="containsText" dxfId="115" priority="121" operator="containsText" text="ERRO">
      <formula>NOT(ISERROR(SEARCH("ERRO",E82)))</formula>
    </cfRule>
  </conditionalFormatting>
  <conditionalFormatting sqref="E101:F101">
    <cfRule type="containsText" dxfId="114" priority="99" operator="containsText" text="ERRO">
      <formula>NOT(ISERROR(SEARCH("ERRO",E101)))</formula>
    </cfRule>
  </conditionalFormatting>
  <conditionalFormatting sqref="E120:F120">
    <cfRule type="containsText" dxfId="113" priority="77" operator="containsText" text="ERRO">
      <formula>NOT(ISERROR(SEARCH("ERRO",E120)))</formula>
    </cfRule>
  </conditionalFormatting>
  <conditionalFormatting sqref="E138:F138">
    <cfRule type="containsText" dxfId="112" priority="55" operator="containsText" text="ERRO">
      <formula>NOT(ISERROR(SEARCH("ERRO",E138)))</formula>
    </cfRule>
  </conditionalFormatting>
  <conditionalFormatting sqref="E157:F157">
    <cfRule type="containsText" dxfId="111" priority="33" operator="containsText" text="ERRO">
      <formula>NOT(ISERROR(SEARCH("ERRO",E157)))</formula>
    </cfRule>
  </conditionalFormatting>
  <conditionalFormatting sqref="E178:F178">
    <cfRule type="containsText" dxfId="110" priority="11" operator="containsText" text="ERRO">
      <formula>NOT(ISERROR(SEARCH("ERRO",E178)))</formula>
    </cfRule>
  </conditionalFormatting>
  <conditionalFormatting sqref="G6:G8 G26:G27 G67:G68 G86:G87 G105:G106 G142:G143 G163:G164">
    <cfRule type="cellIs" dxfId="109" priority="546" operator="lessThan">
      <formula>0</formula>
    </cfRule>
    <cfRule type="cellIs" dxfId="108" priority="544" operator="lessThan">
      <formula>-10</formula>
    </cfRule>
    <cfRule type="cellIs" dxfId="107" priority="543" operator="equal">
      <formula>"%"</formula>
    </cfRule>
    <cfRule type="cellIs" dxfId="106" priority="545" operator="greaterThan">
      <formula>10</formula>
    </cfRule>
  </conditionalFormatting>
  <conditionalFormatting sqref="G17:G24">
    <cfRule type="cellIs" dxfId="105" priority="217" operator="lessThan">
      <formula>0</formula>
    </cfRule>
    <cfRule type="cellIs" dxfId="104" priority="216" operator="greaterThan">
      <formula>10</formula>
    </cfRule>
    <cfRule type="cellIs" dxfId="103" priority="214" operator="equal">
      <formula>"%"</formula>
    </cfRule>
    <cfRule type="cellIs" dxfId="102" priority="215" operator="lessThan">
      <formula>-10</formula>
    </cfRule>
  </conditionalFormatting>
  <conditionalFormatting sqref="G18:G21">
    <cfRule type="iconSet" priority="225">
      <iconSet iconSet="3Arrows">
        <cfvo type="percent" val="0"/>
        <cfvo type="percent" val="33"/>
        <cfvo type="percent" val="67"/>
      </iconSet>
    </cfRule>
    <cfRule type="iconSet" priority="224">
      <iconSet iconSet="3Arrows" showValue="0">
        <cfvo type="percent" val="0"/>
        <cfvo type="percent" val="$E$10-$F$10"/>
        <cfvo type="percent" val="$E$10"/>
      </iconSet>
    </cfRule>
    <cfRule type="iconSet" priority="222">
      <iconSet iconSet="3Arrows">
        <cfvo type="percent" val="0"/>
        <cfvo type="percent" val="33"/>
        <cfvo type="percent" val="67"/>
      </iconSet>
    </cfRule>
    <cfRule type="cellIs" priority="226" operator="greaterThan">
      <formula>$E$10</formula>
    </cfRule>
    <cfRule type="iconSet" priority="221">
      <iconSet iconSet="3Arrows">
        <cfvo type="percent" val="0"/>
        <cfvo type="percent" val="33"/>
        <cfvo type="percent" val="67"/>
      </iconSet>
    </cfRule>
  </conditionalFormatting>
  <conditionalFormatting sqref="G36:G43">
    <cfRule type="cellIs" dxfId="101" priority="173" operator="lessThan">
      <formula>0</formula>
    </cfRule>
    <cfRule type="cellIs" dxfId="100" priority="172" operator="greaterThan">
      <formula>10</formula>
    </cfRule>
    <cfRule type="cellIs" dxfId="99" priority="171" operator="lessThan">
      <formula>-10</formula>
    </cfRule>
    <cfRule type="cellIs" dxfId="98" priority="170" operator="equal">
      <formula>"%"</formula>
    </cfRule>
  </conditionalFormatting>
  <conditionalFormatting sqref="G37:G40">
    <cfRule type="iconSet" priority="180">
      <iconSet iconSet="3Arrows" showValue="0">
        <cfvo type="percent" val="0"/>
        <cfvo type="percent" val="$E$10-$F$10"/>
        <cfvo type="percent" val="$E$10"/>
      </iconSet>
    </cfRule>
    <cfRule type="iconSet" priority="178">
      <iconSet iconSet="3Arrows">
        <cfvo type="percent" val="0"/>
        <cfvo type="percent" val="33"/>
        <cfvo type="percent" val="67"/>
      </iconSet>
    </cfRule>
    <cfRule type="iconSet" priority="177">
      <iconSet iconSet="3Arrows">
        <cfvo type="percent" val="0"/>
        <cfvo type="percent" val="33"/>
        <cfvo type="percent" val="67"/>
      </iconSet>
    </cfRule>
    <cfRule type="cellIs" priority="182" operator="greaterThan">
      <formula>$E$10</formula>
    </cfRule>
    <cfRule type="iconSet" priority="181">
      <iconSet iconSet="3Arrows">
        <cfvo type="percent" val="0"/>
        <cfvo type="percent" val="33"/>
        <cfvo type="percent" val="67"/>
      </iconSet>
    </cfRule>
  </conditionalFormatting>
  <conditionalFormatting sqref="G45:G62">
    <cfRule type="cellIs" dxfId="97" priority="151" operator="lessThan">
      <formula>0</formula>
    </cfRule>
    <cfRule type="cellIs" dxfId="96" priority="149" operator="lessThan">
      <formula>-10</formula>
    </cfRule>
    <cfRule type="cellIs" dxfId="95" priority="148" operator="equal">
      <formula>"%"</formula>
    </cfRule>
    <cfRule type="cellIs" dxfId="94" priority="150" operator="greaterThan">
      <formula>10</formula>
    </cfRule>
  </conditionalFormatting>
  <conditionalFormatting sqref="G48:G53">
    <cfRule type="iconSet" priority="525">
      <iconSet iconSet="3Arrows">
        <cfvo type="percent" val="0"/>
        <cfvo type="percent" val="33"/>
        <cfvo type="percent" val="67"/>
      </iconSet>
    </cfRule>
    <cfRule type="iconSet" priority="524">
      <iconSet iconSet="3Arrows">
        <cfvo type="percent" val="0"/>
        <cfvo type="percent" val="33"/>
        <cfvo type="percent" val="67"/>
      </iconSet>
    </cfRule>
    <cfRule type="cellIs" priority="1574" operator="greaterThan">
      <formula>$E$10</formula>
    </cfRule>
    <cfRule type="iconSet" priority="1573">
      <iconSet iconSet="3Arrows">
        <cfvo type="percent" val="0"/>
        <cfvo type="percent" val="33"/>
        <cfvo type="percent" val="67"/>
      </iconSet>
    </cfRule>
    <cfRule type="iconSet" priority="1572">
      <iconSet iconSet="3Arrows" showValue="0">
        <cfvo type="percent" val="0"/>
        <cfvo type="percent" val="$E$10-$F$10"/>
        <cfvo type="percent" val="$E$10"/>
      </iconSet>
    </cfRule>
  </conditionalFormatting>
  <conditionalFormatting sqref="G56:G59">
    <cfRule type="iconSet" priority="155">
      <iconSet iconSet="3Arrows">
        <cfvo type="percent" val="0"/>
        <cfvo type="percent" val="33"/>
        <cfvo type="percent" val="67"/>
      </iconSet>
    </cfRule>
    <cfRule type="iconSet" priority="156">
      <iconSet iconSet="3Arrows">
        <cfvo type="percent" val="0"/>
        <cfvo type="percent" val="33"/>
        <cfvo type="percent" val="67"/>
      </iconSet>
    </cfRule>
    <cfRule type="iconSet" priority="158">
      <iconSet iconSet="3Arrows" showValue="0">
        <cfvo type="percent" val="0"/>
        <cfvo type="percent" val="$E$10-$F$10"/>
        <cfvo type="percent" val="$E$10"/>
      </iconSet>
    </cfRule>
    <cfRule type="iconSet" priority="159">
      <iconSet iconSet="3Arrows">
        <cfvo type="percent" val="0"/>
        <cfvo type="percent" val="33"/>
        <cfvo type="percent" val="67"/>
      </iconSet>
    </cfRule>
    <cfRule type="cellIs" priority="160" operator="greaterThan">
      <formula>$E$10</formula>
    </cfRule>
  </conditionalFormatting>
  <conditionalFormatting sqref="G77:G84">
    <cfRule type="cellIs" dxfId="93" priority="123" operator="lessThan">
      <formula>-10</formula>
    </cfRule>
    <cfRule type="cellIs" dxfId="92" priority="124" operator="greaterThan">
      <formula>10</formula>
    </cfRule>
    <cfRule type="cellIs" dxfId="91" priority="125" operator="lessThan">
      <formula>0</formula>
    </cfRule>
    <cfRule type="cellIs" dxfId="90" priority="122" operator="equal">
      <formula>"%"</formula>
    </cfRule>
  </conditionalFormatting>
  <conditionalFormatting sqref="G78:G81">
    <cfRule type="cellIs" priority="134" operator="greaterThan">
      <formula>$E$10</formula>
    </cfRule>
    <cfRule type="iconSet" priority="133">
      <iconSet iconSet="3Arrows">
        <cfvo type="percent" val="0"/>
        <cfvo type="percent" val="33"/>
        <cfvo type="percent" val="67"/>
      </iconSet>
    </cfRule>
    <cfRule type="iconSet" priority="132">
      <iconSet iconSet="3Arrows" showValue="0">
        <cfvo type="percent" val="0"/>
        <cfvo type="percent" val="$E$10-$F$10"/>
        <cfvo type="percent" val="$E$10"/>
      </iconSet>
    </cfRule>
    <cfRule type="iconSet" priority="129">
      <iconSet iconSet="3Arrows">
        <cfvo type="percent" val="0"/>
        <cfvo type="percent" val="33"/>
        <cfvo type="percent" val="67"/>
      </iconSet>
    </cfRule>
    <cfRule type="iconSet" priority="130">
      <iconSet iconSet="3Arrows">
        <cfvo type="percent" val="0"/>
        <cfvo type="percent" val="33"/>
        <cfvo type="percent" val="67"/>
      </iconSet>
    </cfRule>
  </conditionalFormatting>
  <conditionalFormatting sqref="G96:G103">
    <cfRule type="cellIs" dxfId="89" priority="100" operator="equal">
      <formula>"%"</formula>
    </cfRule>
    <cfRule type="cellIs" dxfId="88" priority="101" operator="lessThan">
      <formula>-10</formula>
    </cfRule>
    <cfRule type="cellIs" dxfId="87" priority="102" operator="greaterThan">
      <formula>10</formula>
    </cfRule>
    <cfRule type="cellIs" dxfId="86" priority="103" operator="lessThan">
      <formula>0</formula>
    </cfRule>
  </conditionalFormatting>
  <conditionalFormatting sqref="G97:G100">
    <cfRule type="iconSet" priority="110">
      <iconSet iconSet="3Arrows" showValue="0">
        <cfvo type="percent" val="0"/>
        <cfvo type="percent" val="$E$10-$F$10"/>
        <cfvo type="percent" val="$E$10"/>
      </iconSet>
    </cfRule>
    <cfRule type="iconSet" priority="111">
      <iconSet iconSet="3Arrows">
        <cfvo type="percent" val="0"/>
        <cfvo type="percent" val="33"/>
        <cfvo type="percent" val="67"/>
      </iconSet>
    </cfRule>
    <cfRule type="cellIs" priority="112" operator="greaterThan">
      <formula>$E$10</formula>
    </cfRule>
    <cfRule type="iconSet" priority="107">
      <iconSet iconSet="3Arrows">
        <cfvo type="percent" val="0"/>
        <cfvo type="percent" val="33"/>
        <cfvo type="percent" val="67"/>
      </iconSet>
    </cfRule>
    <cfRule type="iconSet" priority="108">
      <iconSet iconSet="3Arrows">
        <cfvo type="percent" val="0"/>
        <cfvo type="percent" val="33"/>
        <cfvo type="percent" val="67"/>
      </iconSet>
    </cfRule>
  </conditionalFormatting>
  <conditionalFormatting sqref="G115:G124">
    <cfRule type="cellIs" dxfId="85" priority="78" operator="equal">
      <formula>"%"</formula>
    </cfRule>
    <cfRule type="cellIs" dxfId="84" priority="79" operator="lessThan">
      <formula>-10</formula>
    </cfRule>
    <cfRule type="cellIs" dxfId="83" priority="80" operator="greaterThan">
      <formula>10</formula>
    </cfRule>
    <cfRule type="cellIs" dxfId="82" priority="81" operator="lessThan">
      <formula>0</formula>
    </cfRule>
  </conditionalFormatting>
  <conditionalFormatting sqref="G116:G119">
    <cfRule type="iconSet" priority="85">
      <iconSet iconSet="3Arrows">
        <cfvo type="percent" val="0"/>
        <cfvo type="percent" val="33"/>
        <cfvo type="percent" val="67"/>
      </iconSet>
    </cfRule>
    <cfRule type="iconSet" priority="86">
      <iconSet iconSet="3Arrows">
        <cfvo type="percent" val="0"/>
        <cfvo type="percent" val="33"/>
        <cfvo type="percent" val="67"/>
      </iconSet>
    </cfRule>
    <cfRule type="iconSet" priority="88">
      <iconSet iconSet="3Arrows" showValue="0">
        <cfvo type="percent" val="0"/>
        <cfvo type="percent" val="$E$10-$F$10"/>
        <cfvo type="percent" val="$E$10"/>
      </iconSet>
    </cfRule>
    <cfRule type="iconSet" priority="89">
      <iconSet iconSet="3Arrows">
        <cfvo type="percent" val="0"/>
        <cfvo type="percent" val="33"/>
        <cfvo type="percent" val="67"/>
      </iconSet>
    </cfRule>
    <cfRule type="cellIs" priority="90" operator="greaterThan">
      <formula>$E$10</formula>
    </cfRule>
  </conditionalFormatting>
  <conditionalFormatting sqref="G133:G140">
    <cfRule type="cellIs" dxfId="81" priority="56" operator="equal">
      <formula>"%"</formula>
    </cfRule>
    <cfRule type="cellIs" dxfId="80" priority="59" operator="lessThan">
      <formula>0</formula>
    </cfRule>
    <cfRule type="cellIs" dxfId="79" priority="58" operator="greaterThan">
      <formula>10</formula>
    </cfRule>
    <cfRule type="cellIs" dxfId="78" priority="57" operator="lessThan">
      <formula>-10</formula>
    </cfRule>
  </conditionalFormatting>
  <conditionalFormatting sqref="G134:G137">
    <cfRule type="iconSet" priority="66">
      <iconSet iconSet="3Arrows" showValue="0">
        <cfvo type="percent" val="0"/>
        <cfvo type="percent" val="$E$10-$F$10"/>
        <cfvo type="percent" val="$E$10"/>
      </iconSet>
    </cfRule>
    <cfRule type="iconSet" priority="64">
      <iconSet iconSet="3Arrows">
        <cfvo type="percent" val="0"/>
        <cfvo type="percent" val="33"/>
        <cfvo type="percent" val="67"/>
      </iconSet>
    </cfRule>
    <cfRule type="iconSet" priority="63">
      <iconSet iconSet="3Arrows">
        <cfvo type="percent" val="0"/>
        <cfvo type="percent" val="33"/>
        <cfvo type="percent" val="67"/>
      </iconSet>
    </cfRule>
    <cfRule type="iconSet" priority="67">
      <iconSet iconSet="3Arrows">
        <cfvo type="percent" val="0"/>
        <cfvo type="percent" val="33"/>
        <cfvo type="percent" val="67"/>
      </iconSet>
    </cfRule>
    <cfRule type="cellIs" priority="68" operator="greaterThan">
      <formula>$E$10</formula>
    </cfRule>
  </conditionalFormatting>
  <conditionalFormatting sqref="G152:G159">
    <cfRule type="cellIs" dxfId="77" priority="34" operator="equal">
      <formula>"%"</formula>
    </cfRule>
    <cfRule type="cellIs" dxfId="76" priority="35" operator="lessThan">
      <formula>-10</formula>
    </cfRule>
    <cfRule type="cellIs" dxfId="75" priority="36" operator="greaterThan">
      <formula>10</formula>
    </cfRule>
    <cfRule type="cellIs" dxfId="74" priority="37" operator="lessThan">
      <formula>0</formula>
    </cfRule>
  </conditionalFormatting>
  <conditionalFormatting sqref="G153:G156">
    <cfRule type="cellIs" priority="46" operator="greaterThan">
      <formula>$E$10</formula>
    </cfRule>
    <cfRule type="iconSet" priority="45">
      <iconSet iconSet="3Arrows">
        <cfvo type="percent" val="0"/>
        <cfvo type="percent" val="33"/>
        <cfvo type="percent" val="67"/>
      </iconSet>
    </cfRule>
    <cfRule type="iconSet" priority="44">
      <iconSet iconSet="3Arrows" showValue="0">
        <cfvo type="percent" val="0"/>
        <cfvo type="percent" val="$E$10-$F$10"/>
        <cfvo type="percent" val="$E$10"/>
      </iconSet>
    </cfRule>
    <cfRule type="iconSet" priority="42">
      <iconSet iconSet="3Arrows">
        <cfvo type="percent" val="0"/>
        <cfvo type="percent" val="33"/>
        <cfvo type="percent" val="67"/>
      </iconSet>
    </cfRule>
    <cfRule type="iconSet" priority="41">
      <iconSet iconSet="3Arrows">
        <cfvo type="percent" val="0"/>
        <cfvo type="percent" val="33"/>
        <cfvo type="percent" val="67"/>
      </iconSet>
    </cfRule>
  </conditionalFormatting>
  <conditionalFormatting sqref="G173:G180">
    <cfRule type="cellIs" dxfId="73" priority="15" operator="lessThan">
      <formula>0</formula>
    </cfRule>
    <cfRule type="cellIs" dxfId="72" priority="14" operator="greaterThan">
      <formula>10</formula>
    </cfRule>
    <cfRule type="cellIs" dxfId="71" priority="13" operator="lessThan">
      <formula>-10</formula>
    </cfRule>
    <cfRule type="cellIs" dxfId="70" priority="12" operator="equal">
      <formula>"%"</formula>
    </cfRule>
  </conditionalFormatting>
  <conditionalFormatting sqref="G174:G177">
    <cfRule type="iconSet" priority="19">
      <iconSet iconSet="3Arrows">
        <cfvo type="percent" val="0"/>
        <cfvo type="percent" val="33"/>
        <cfvo type="percent" val="67"/>
      </iconSet>
    </cfRule>
    <cfRule type="iconSet" priority="20">
      <iconSet iconSet="3Arrows">
        <cfvo type="percent" val="0"/>
        <cfvo type="percent" val="33"/>
        <cfvo type="percent" val="67"/>
      </iconSet>
    </cfRule>
    <cfRule type="iconSet" priority="22">
      <iconSet iconSet="3Arrows" showValue="0">
        <cfvo type="percent" val="0"/>
        <cfvo type="percent" val="$E$10-$F$10"/>
        <cfvo type="percent" val="$E$10"/>
      </iconSet>
    </cfRule>
    <cfRule type="iconSet" priority="23">
      <iconSet iconSet="3Arrows">
        <cfvo type="percent" val="0"/>
        <cfvo type="percent" val="33"/>
        <cfvo type="percent" val="67"/>
      </iconSet>
    </cfRule>
    <cfRule type="cellIs" priority="24" operator="greaterThan">
      <formula>$E$10</formula>
    </cfRule>
  </conditionalFormatting>
  <conditionalFormatting sqref="U21">
    <cfRule type="containsText" dxfId="69" priority="10" operator="containsText" text="ERRO">
      <formula>NOT(ISERROR(SEARCH("ERRO",U21)))</formula>
    </cfRule>
  </conditionalFormatting>
  <conditionalFormatting sqref="U40">
    <cfRule type="containsText" dxfId="68" priority="9" operator="containsText" text="ERRO">
      <formula>NOT(ISERROR(SEARCH("ERRO",U40)))</formula>
    </cfRule>
  </conditionalFormatting>
  <conditionalFormatting sqref="U59">
    <cfRule type="containsText" dxfId="67" priority="8" operator="containsText" text="ERRO">
      <formula>NOT(ISERROR(SEARCH("ERRO",U59)))</formula>
    </cfRule>
  </conditionalFormatting>
  <conditionalFormatting sqref="U81">
    <cfRule type="containsText" dxfId="66" priority="7" operator="containsText" text="ERRO">
      <formula>NOT(ISERROR(SEARCH("ERRO",U81)))</formula>
    </cfRule>
  </conditionalFormatting>
  <conditionalFormatting sqref="U100">
    <cfRule type="containsText" dxfId="65" priority="6" operator="containsText" text="ERRO">
      <formula>NOT(ISERROR(SEARCH("ERRO",U100)))</formula>
    </cfRule>
  </conditionalFormatting>
  <conditionalFormatting sqref="U119">
    <cfRule type="containsText" dxfId="64" priority="4" operator="containsText" text="ERRO">
      <formula>NOT(ISERROR(SEARCH("ERRO",U119)))</formula>
    </cfRule>
  </conditionalFormatting>
  <conditionalFormatting sqref="U137">
    <cfRule type="containsText" dxfId="63" priority="3" operator="containsText" text="ERRO">
      <formula>NOT(ISERROR(SEARCH("ERRO",U137)))</formula>
    </cfRule>
  </conditionalFormatting>
  <conditionalFormatting sqref="U156">
    <cfRule type="containsText" dxfId="62" priority="2" operator="containsText" text="ERRO">
      <formula>NOT(ISERROR(SEARCH("ERRO",U156)))</formula>
    </cfRule>
  </conditionalFormatting>
  <conditionalFormatting sqref="U177">
    <cfRule type="containsText" dxfId="61" priority="1" operator="containsText" text="ERRO">
      <formula>NOT(ISERROR(SEARCH("ERRO",U177)))</formula>
    </cfRule>
  </conditionalFormatting>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iconSet" priority="1583" id="{528A2035-5BBA-4652-BCC2-092ACC31415C}">
            <x14:iconSet iconSet="3Triangles">
              <x14:cfvo type="percent">
                <xm:f>0</xm:f>
              </x14:cfvo>
              <x14:cfvo type="percent" gte="0">
                <xm:f>0</xm:f>
              </x14:cfvo>
              <x14:cfvo type="num">
                <xm:f>$A$29</xm:f>
              </x14:cfvo>
            </x14:iconSet>
          </x14:cfRule>
          <xm:sqref>A53</xm:sqref>
        </x14:conditionalFormatting>
        <x14:conditionalFormatting xmlns:xm="http://schemas.microsoft.com/office/excel/2006/main">
          <x14:cfRule type="iconSet" priority="223" id="{8A939D97-E75C-47AC-B4F8-974DEC130178}">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220" id="{73A27429-3D46-4BFB-B1E5-7F8BD3237D16}">
            <x14:iconSet custom="1">
              <x14:cfvo type="percent">
                <xm:f>0</xm:f>
              </x14:cfvo>
              <x14:cfvo type="num">
                <xm:f>0</xm:f>
              </x14:cfvo>
              <x14:cfvo type="num" gte="0">
                <xm:f>5</xm:f>
              </x14:cfvo>
              <x14:cfIcon iconSet="3Arrows" iconId="0"/>
              <x14:cfIcon iconSet="3Triangles" iconId="1"/>
              <x14:cfIcon iconSet="3Arrows" iconId="2"/>
            </x14:iconSet>
          </x14:cfRule>
          <x14:cfRule type="iconSet" priority="219" id="{E0E1089E-09EC-46EB-87D2-8AB0D8C13D69}">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218" id="{6097C4C3-6606-4BB1-9327-E83FF8D67224}">
            <x14:iconSet custom="1">
              <x14:cfvo type="percent">
                <xm:f>0</xm:f>
              </x14:cfvo>
              <x14:cfvo type="num">
                <xm:f>0</xm:f>
              </x14:cfvo>
              <x14:cfvo type="num">
                <xm:f>1</xm:f>
              </x14:cfvo>
              <x14:cfIcon iconSet="3Arrows" iconId="0"/>
              <x14:cfIcon iconSet="NoIcons" iconId="0"/>
              <x14:cfIcon iconSet="3Arrows" iconId="2"/>
            </x14:iconSet>
          </x14:cfRule>
          <xm:sqref>G18:G21</xm:sqref>
        </x14:conditionalFormatting>
        <x14:conditionalFormatting xmlns:xm="http://schemas.microsoft.com/office/excel/2006/main">
          <x14:cfRule type="iconSet" priority="179" id="{F0B1FB43-F236-427A-B9DA-9AE034AAC7F2}">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76" id="{E75EB02A-4833-487E-9743-BC0493441841}">
            <x14:iconSet custom="1">
              <x14:cfvo type="percent">
                <xm:f>0</xm:f>
              </x14:cfvo>
              <x14:cfvo type="num">
                <xm:f>0</xm:f>
              </x14:cfvo>
              <x14:cfvo type="num" gte="0">
                <xm:f>5</xm:f>
              </x14:cfvo>
              <x14:cfIcon iconSet="3Arrows" iconId="0"/>
              <x14:cfIcon iconSet="3Triangles" iconId="1"/>
              <x14:cfIcon iconSet="3Arrows" iconId="2"/>
            </x14:iconSet>
          </x14:cfRule>
          <x14:cfRule type="iconSet" priority="175" id="{63C3023A-1E36-4D2F-9A99-2176D0381D29}">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74" id="{947297B6-3659-444B-BCE8-D07E4EB869A3}">
            <x14:iconSet custom="1">
              <x14:cfvo type="percent">
                <xm:f>0</xm:f>
              </x14:cfvo>
              <x14:cfvo type="num">
                <xm:f>0</xm:f>
              </x14:cfvo>
              <x14:cfvo type="num">
                <xm:f>1</xm:f>
              </x14:cfvo>
              <x14:cfIcon iconSet="3Arrows" iconId="0"/>
              <x14:cfIcon iconSet="NoIcons" iconId="0"/>
              <x14:cfIcon iconSet="3Arrows" iconId="2"/>
            </x14:iconSet>
          </x14:cfRule>
          <xm:sqref>G37:G40</xm:sqref>
        </x14:conditionalFormatting>
        <x14:conditionalFormatting xmlns:xm="http://schemas.microsoft.com/office/excel/2006/main">
          <x14:cfRule type="iconSet" priority="522" id="{6F2D33B1-4759-4951-B230-EB27D596F445}">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521" id="{4091C846-A9BB-44DA-9305-81D387330668}">
            <x14:iconSet custom="1">
              <x14:cfvo type="percent">
                <xm:f>0</xm:f>
              </x14:cfvo>
              <x14:cfvo type="num">
                <xm:f>0</xm:f>
              </x14:cfvo>
              <x14:cfvo type="num">
                <xm:f>1</xm:f>
              </x14:cfvo>
              <x14:cfIcon iconSet="3Arrows" iconId="0"/>
              <x14:cfIcon iconSet="NoIcons" iconId="0"/>
              <x14:cfIcon iconSet="3Arrows" iconId="2"/>
            </x14:iconSet>
          </x14:cfRule>
          <x14:cfRule type="iconSet" priority="526" id="{4186500E-7B7A-45B5-859A-25CC050BD5B2}">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523" id="{0CFA9FC7-7F60-47BC-9575-D67EF06F121E}">
            <x14:iconSet custom="1">
              <x14:cfvo type="percent">
                <xm:f>0</xm:f>
              </x14:cfvo>
              <x14:cfvo type="num">
                <xm:f>0</xm:f>
              </x14:cfvo>
              <x14:cfvo type="num" gte="0">
                <xm:f>5</xm:f>
              </x14:cfvo>
              <x14:cfIcon iconSet="3Arrows" iconId="0"/>
              <x14:cfIcon iconSet="3Triangles" iconId="1"/>
              <x14:cfIcon iconSet="3Arrows" iconId="2"/>
            </x14:iconSet>
          </x14:cfRule>
          <xm:sqref>G48:G53</xm:sqref>
        </x14:conditionalFormatting>
        <x14:conditionalFormatting xmlns:xm="http://schemas.microsoft.com/office/excel/2006/main">
          <x14:cfRule type="iconSet" priority="154" id="{BB7730EF-F610-4D42-A5E6-63D9EEB243FA}">
            <x14:iconSet custom="1">
              <x14:cfvo type="percent">
                <xm:f>0</xm:f>
              </x14:cfvo>
              <x14:cfvo type="num">
                <xm:f>0</xm:f>
              </x14:cfvo>
              <x14:cfvo type="num" gte="0">
                <xm:f>5</xm:f>
              </x14:cfvo>
              <x14:cfIcon iconSet="3Arrows" iconId="0"/>
              <x14:cfIcon iconSet="3Triangles" iconId="1"/>
              <x14:cfIcon iconSet="3Arrows" iconId="2"/>
            </x14:iconSet>
          </x14:cfRule>
          <x14:cfRule type="iconSet" priority="153" id="{E0884E25-B2EF-4041-83DA-7820E75DF3A3}">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52" id="{FF334E07-22A2-479D-8454-19752E5FD098}">
            <x14:iconSet custom="1">
              <x14:cfvo type="percent">
                <xm:f>0</xm:f>
              </x14:cfvo>
              <x14:cfvo type="num">
                <xm:f>0</xm:f>
              </x14:cfvo>
              <x14:cfvo type="num">
                <xm:f>1</xm:f>
              </x14:cfvo>
              <x14:cfIcon iconSet="3Arrows" iconId="0"/>
              <x14:cfIcon iconSet="NoIcons" iconId="0"/>
              <x14:cfIcon iconSet="3Arrows" iconId="2"/>
            </x14:iconSet>
          </x14:cfRule>
          <x14:cfRule type="iconSet" priority="157" id="{1D8D29D5-A86E-4F85-851F-6D622D1C123D}">
            <x14:iconSet iconSet="3Arrows" custom="1">
              <x14:cfvo type="percent">
                <xm:f>0</xm:f>
              </x14:cfvo>
              <x14:cfvo type="percent">
                <xm:f>0</xm:f>
              </x14:cfvo>
              <x14:cfvo type="percent">
                <xm:f>0</xm:f>
              </x14:cfvo>
              <x14:cfIcon iconSet="3Arrows" iconId="0"/>
              <x14:cfIcon iconSet="NoIcons" iconId="0"/>
              <x14:cfIcon iconSet="3Arrows" iconId="2"/>
            </x14:iconSet>
          </x14:cfRule>
          <xm:sqref>G56:G59</xm:sqref>
        </x14:conditionalFormatting>
        <x14:conditionalFormatting xmlns:xm="http://schemas.microsoft.com/office/excel/2006/main">
          <x14:cfRule type="iconSet" priority="126" id="{35878F9C-4164-4921-8588-B0C396B485D6}">
            <x14:iconSet custom="1">
              <x14:cfvo type="percent">
                <xm:f>0</xm:f>
              </x14:cfvo>
              <x14:cfvo type="num">
                <xm:f>0</xm:f>
              </x14:cfvo>
              <x14:cfvo type="num">
                <xm:f>1</xm:f>
              </x14:cfvo>
              <x14:cfIcon iconSet="3Arrows" iconId="0"/>
              <x14:cfIcon iconSet="NoIcons" iconId="0"/>
              <x14:cfIcon iconSet="3Arrows" iconId="2"/>
            </x14:iconSet>
          </x14:cfRule>
          <x14:cfRule type="iconSet" priority="127" id="{A4E9A8A0-1BAB-4EE8-98DB-923B575E6515}">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28" id="{CE46D51D-2910-4604-B8E6-3A22E262B6A7}">
            <x14:iconSet custom="1">
              <x14:cfvo type="percent">
                <xm:f>0</xm:f>
              </x14:cfvo>
              <x14:cfvo type="num">
                <xm:f>0</xm:f>
              </x14:cfvo>
              <x14:cfvo type="num" gte="0">
                <xm:f>5</xm:f>
              </x14:cfvo>
              <x14:cfIcon iconSet="3Arrows" iconId="0"/>
              <x14:cfIcon iconSet="3Triangles" iconId="1"/>
              <x14:cfIcon iconSet="3Arrows" iconId="2"/>
            </x14:iconSet>
          </x14:cfRule>
          <x14:cfRule type="iconSet" priority="131" id="{64D6971C-412F-4EE9-B6E2-74B00E7CBA21}">
            <x14:iconSet iconSet="3Arrows" custom="1">
              <x14:cfvo type="percent">
                <xm:f>0</xm:f>
              </x14:cfvo>
              <x14:cfvo type="percent">
                <xm:f>0</xm:f>
              </x14:cfvo>
              <x14:cfvo type="percent">
                <xm:f>0</xm:f>
              </x14:cfvo>
              <x14:cfIcon iconSet="3Arrows" iconId="0"/>
              <x14:cfIcon iconSet="NoIcons" iconId="0"/>
              <x14:cfIcon iconSet="3Arrows" iconId="2"/>
            </x14:iconSet>
          </x14:cfRule>
          <xm:sqref>G78:G81</xm:sqref>
        </x14:conditionalFormatting>
        <x14:conditionalFormatting xmlns:xm="http://schemas.microsoft.com/office/excel/2006/main">
          <x14:cfRule type="iconSet" priority="109" id="{DDFE73DF-570A-4EAE-A88B-F7342BE85B31}">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04" id="{8A1E5470-A8C1-4132-85FB-E0DC6F01C5A1}">
            <x14:iconSet custom="1">
              <x14:cfvo type="percent">
                <xm:f>0</xm:f>
              </x14:cfvo>
              <x14:cfvo type="num">
                <xm:f>0</xm:f>
              </x14:cfvo>
              <x14:cfvo type="num">
                <xm:f>1</xm:f>
              </x14:cfvo>
              <x14:cfIcon iconSet="3Arrows" iconId="0"/>
              <x14:cfIcon iconSet="NoIcons" iconId="0"/>
              <x14:cfIcon iconSet="3Arrows" iconId="2"/>
            </x14:iconSet>
          </x14:cfRule>
          <x14:cfRule type="iconSet" priority="105" id="{FE3794F3-5949-4F72-AC7D-EFA1AEE91804}">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106" id="{E8AC1D58-98DD-416E-8032-FAFE48E36F50}">
            <x14:iconSet custom="1">
              <x14:cfvo type="percent">
                <xm:f>0</xm:f>
              </x14:cfvo>
              <x14:cfvo type="num">
                <xm:f>0</xm:f>
              </x14:cfvo>
              <x14:cfvo type="num" gte="0">
                <xm:f>5</xm:f>
              </x14:cfvo>
              <x14:cfIcon iconSet="3Arrows" iconId="0"/>
              <x14:cfIcon iconSet="3Triangles" iconId="1"/>
              <x14:cfIcon iconSet="3Arrows" iconId="2"/>
            </x14:iconSet>
          </x14:cfRule>
          <xm:sqref>G97:G100</xm:sqref>
        </x14:conditionalFormatting>
        <x14:conditionalFormatting xmlns:xm="http://schemas.microsoft.com/office/excel/2006/main">
          <x14:cfRule type="iconSet" priority="83" id="{E63833BF-3746-4C84-9101-768D93BF2461}">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84" id="{B26923F6-7885-4A4E-849C-C9D79071E2C6}">
            <x14:iconSet custom="1">
              <x14:cfvo type="percent">
                <xm:f>0</xm:f>
              </x14:cfvo>
              <x14:cfvo type="num">
                <xm:f>0</xm:f>
              </x14:cfvo>
              <x14:cfvo type="num" gte="0">
                <xm:f>5</xm:f>
              </x14:cfvo>
              <x14:cfIcon iconSet="3Arrows" iconId="0"/>
              <x14:cfIcon iconSet="3Triangles" iconId="1"/>
              <x14:cfIcon iconSet="3Arrows" iconId="2"/>
            </x14:iconSet>
          </x14:cfRule>
          <x14:cfRule type="iconSet" priority="82" id="{CA25F1E9-0AC9-4358-B896-FB6F9D7E23DB}">
            <x14:iconSet custom="1">
              <x14:cfvo type="percent">
                <xm:f>0</xm:f>
              </x14:cfvo>
              <x14:cfvo type="num">
                <xm:f>0</xm:f>
              </x14:cfvo>
              <x14:cfvo type="num">
                <xm:f>1</xm:f>
              </x14:cfvo>
              <x14:cfIcon iconSet="3Arrows" iconId="0"/>
              <x14:cfIcon iconSet="NoIcons" iconId="0"/>
              <x14:cfIcon iconSet="3Arrows" iconId="2"/>
            </x14:iconSet>
          </x14:cfRule>
          <x14:cfRule type="iconSet" priority="87" id="{B5115CFA-B640-426D-9C78-25B3FD9C63AA}">
            <x14:iconSet iconSet="3Arrows" custom="1">
              <x14:cfvo type="percent">
                <xm:f>0</xm:f>
              </x14:cfvo>
              <x14:cfvo type="percent">
                <xm:f>0</xm:f>
              </x14:cfvo>
              <x14:cfvo type="percent">
                <xm:f>0</xm:f>
              </x14:cfvo>
              <x14:cfIcon iconSet="3Arrows" iconId="0"/>
              <x14:cfIcon iconSet="NoIcons" iconId="0"/>
              <x14:cfIcon iconSet="3Arrows" iconId="2"/>
            </x14:iconSet>
          </x14:cfRule>
          <xm:sqref>G116:G119</xm:sqref>
        </x14:conditionalFormatting>
        <x14:conditionalFormatting xmlns:xm="http://schemas.microsoft.com/office/excel/2006/main">
          <x14:cfRule type="iconSet" priority="65" id="{10FAE574-1175-4F33-B7A7-48DA056BDA9D}">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62" id="{2FD9AA82-9782-4E4E-9570-6DB19445618E}">
            <x14:iconSet custom="1">
              <x14:cfvo type="percent">
                <xm:f>0</xm:f>
              </x14:cfvo>
              <x14:cfvo type="num">
                <xm:f>0</xm:f>
              </x14:cfvo>
              <x14:cfvo type="num" gte="0">
                <xm:f>5</xm:f>
              </x14:cfvo>
              <x14:cfIcon iconSet="3Arrows" iconId="0"/>
              <x14:cfIcon iconSet="3Triangles" iconId="1"/>
              <x14:cfIcon iconSet="3Arrows" iconId="2"/>
            </x14:iconSet>
          </x14:cfRule>
          <x14:cfRule type="iconSet" priority="61" id="{600C58E8-4724-4C74-BAE0-7551BB403F0C}">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60" id="{C9050C98-3FD2-425F-927B-0B3E6370437A}">
            <x14:iconSet custom="1">
              <x14:cfvo type="percent">
                <xm:f>0</xm:f>
              </x14:cfvo>
              <x14:cfvo type="num">
                <xm:f>0</xm:f>
              </x14:cfvo>
              <x14:cfvo type="num">
                <xm:f>1</xm:f>
              </x14:cfvo>
              <x14:cfIcon iconSet="3Arrows" iconId="0"/>
              <x14:cfIcon iconSet="NoIcons" iconId="0"/>
              <x14:cfIcon iconSet="3Arrows" iconId="2"/>
            </x14:iconSet>
          </x14:cfRule>
          <xm:sqref>G134:G137</xm:sqref>
        </x14:conditionalFormatting>
        <x14:conditionalFormatting xmlns:xm="http://schemas.microsoft.com/office/excel/2006/main">
          <x14:cfRule type="iconSet" priority="43" id="{E2F399E3-85DC-4707-955E-1C487955148E}">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38" id="{27D32D08-0399-4B32-9528-7726B02BC3AE}">
            <x14:iconSet custom="1">
              <x14:cfvo type="percent">
                <xm:f>0</xm:f>
              </x14:cfvo>
              <x14:cfvo type="num">
                <xm:f>0</xm:f>
              </x14:cfvo>
              <x14:cfvo type="num">
                <xm:f>1</xm:f>
              </x14:cfvo>
              <x14:cfIcon iconSet="3Arrows" iconId="0"/>
              <x14:cfIcon iconSet="NoIcons" iconId="0"/>
              <x14:cfIcon iconSet="3Arrows" iconId="2"/>
            </x14:iconSet>
          </x14:cfRule>
          <x14:cfRule type="iconSet" priority="39" id="{618A798B-BE76-4909-A416-A861BE87A779}">
            <x14:iconSet showValue="0" custom="1">
              <x14:cfvo type="percent">
                <xm:f>0</xm:f>
              </x14:cfvo>
              <x14:cfvo type="num">
                <xm:f>0</xm:f>
              </x14:cfvo>
              <x14:cfvo type="num">
                <xm:f>1</xm:f>
              </x14:cfvo>
              <x14:cfIcon iconSet="3Arrows" iconId="0"/>
              <x14:cfIcon iconSet="NoIcons" iconId="0"/>
              <x14:cfIcon iconSet="3Arrows" iconId="2"/>
            </x14:iconSet>
          </x14:cfRule>
          <x14:cfRule type="iconSet" priority="40" id="{1071A448-A465-4F07-98BE-08E8ECE3098A}">
            <x14:iconSet custom="1">
              <x14:cfvo type="percent">
                <xm:f>0</xm:f>
              </x14:cfvo>
              <x14:cfvo type="num">
                <xm:f>0</xm:f>
              </x14:cfvo>
              <x14:cfvo type="num" gte="0">
                <xm:f>5</xm:f>
              </x14:cfvo>
              <x14:cfIcon iconSet="3Arrows" iconId="0"/>
              <x14:cfIcon iconSet="3Triangles" iconId="1"/>
              <x14:cfIcon iconSet="3Arrows" iconId="2"/>
            </x14:iconSet>
          </x14:cfRule>
          <xm:sqref>G153:G156</xm:sqref>
        </x14:conditionalFormatting>
        <x14:conditionalFormatting xmlns:xm="http://schemas.microsoft.com/office/excel/2006/main">
          <x14:cfRule type="iconSet" priority="16" id="{6A5F7342-B9A2-4EF9-966B-A27B5C647357}">
            <x14:iconSet custom="1">
              <x14:cfvo type="percent">
                <xm:f>0</xm:f>
              </x14:cfvo>
              <x14:cfvo type="num">
                <xm:f>0</xm:f>
              </x14:cfvo>
              <x14:cfvo type="num">
                <xm:f>1</xm:f>
              </x14:cfvo>
              <x14:cfIcon iconSet="3Arrows" iconId="0"/>
              <x14:cfIcon iconSet="NoIcons" iconId="0"/>
              <x14:cfIcon iconSet="3Arrows" iconId="2"/>
            </x14:iconSet>
          </x14:cfRule>
          <x14:cfRule type="iconSet" priority="21" id="{0240C5AB-719F-4412-A304-591E4222FEF7}">
            <x14:iconSet iconSet="3Arrows" custom="1">
              <x14:cfvo type="percent">
                <xm:f>0</xm:f>
              </x14:cfvo>
              <x14:cfvo type="percent">
                <xm:f>0</xm:f>
              </x14:cfvo>
              <x14:cfvo type="percent">
                <xm:f>0</xm:f>
              </x14:cfvo>
              <x14:cfIcon iconSet="3Arrows" iconId="0"/>
              <x14:cfIcon iconSet="NoIcons" iconId="0"/>
              <x14:cfIcon iconSet="3Arrows" iconId="2"/>
            </x14:iconSet>
          </x14:cfRule>
          <x14:cfRule type="iconSet" priority="18" id="{2914919F-BD03-4193-8230-8D4F5C36DF7D}">
            <x14:iconSet custom="1">
              <x14:cfvo type="percent">
                <xm:f>0</xm:f>
              </x14:cfvo>
              <x14:cfvo type="num">
                <xm:f>0</xm:f>
              </x14:cfvo>
              <x14:cfvo type="num" gte="0">
                <xm:f>5</xm:f>
              </x14:cfvo>
              <x14:cfIcon iconSet="3Arrows" iconId="0"/>
              <x14:cfIcon iconSet="3Triangles" iconId="1"/>
              <x14:cfIcon iconSet="3Arrows" iconId="2"/>
            </x14:iconSet>
          </x14:cfRule>
          <x14:cfRule type="iconSet" priority="17" id="{B9F83E13-26FB-4C10-8DD9-28D2810324F5}">
            <x14:iconSet showValue="0" custom="1">
              <x14:cfvo type="percent">
                <xm:f>0</xm:f>
              </x14:cfvo>
              <x14:cfvo type="num">
                <xm:f>0</xm:f>
              </x14:cfvo>
              <x14:cfvo type="num">
                <xm:f>1</xm:f>
              </x14:cfvo>
              <x14:cfIcon iconSet="3Arrows" iconId="0"/>
              <x14:cfIcon iconSet="NoIcons" iconId="0"/>
              <x14:cfIcon iconSet="3Arrows" iconId="2"/>
            </x14:iconSet>
          </x14:cfRule>
          <xm:sqref>G174:G177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00A3-66ED-432F-911D-EDFD70722B0D}">
  <sheetPr codeName="Planilha2">
    <tabColor theme="4" tint="0.39997558519241921"/>
  </sheetPr>
  <dimension ref="A1:R460"/>
  <sheetViews>
    <sheetView showGridLines="0" topLeftCell="A6" zoomScale="75" zoomScaleNormal="75" workbookViewId="0">
      <pane xSplit="1" topLeftCell="B1" activePane="topRight" state="frozen"/>
      <selection pane="topRight" activeCell="A22" sqref="A22:A23"/>
    </sheetView>
  </sheetViews>
  <sheetFormatPr defaultColWidth="8.77734375" defaultRowHeight="15" x14ac:dyDescent="0.25"/>
  <cols>
    <col min="1" max="1" width="99.77734375" customWidth="1"/>
    <col min="2" max="2" width="9.44140625" style="15" customWidth="1"/>
    <col min="3" max="3" width="51.77734375" style="11" customWidth="1"/>
    <col min="4" max="4" width="20" style="11" customWidth="1"/>
    <col min="5" max="5" width="28.77734375" customWidth="1"/>
    <col min="6" max="6" width="26.77734375" customWidth="1"/>
    <col min="7" max="56" width="13.21875" customWidth="1"/>
  </cols>
  <sheetData>
    <row r="1" spans="1:18" ht="15.6" thickBot="1" x14ac:dyDescent="0.3"/>
    <row r="2" spans="1:18" ht="16.05" customHeight="1" x14ac:dyDescent="0.25">
      <c r="D2" s="196" t="s">
        <v>281</v>
      </c>
      <c r="E2" s="197"/>
      <c r="F2" s="197"/>
      <c r="G2" s="197"/>
      <c r="H2" s="197"/>
      <c r="I2" s="197"/>
      <c r="J2" s="197"/>
      <c r="K2" s="197"/>
      <c r="L2" s="197"/>
      <c r="M2" s="197"/>
      <c r="N2" s="197"/>
      <c r="O2" s="197"/>
      <c r="P2" s="197"/>
      <c r="Q2" s="197"/>
      <c r="R2" s="198"/>
    </row>
    <row r="3" spans="1:18" ht="16.05" customHeight="1" x14ac:dyDescent="0.25">
      <c r="D3" s="199"/>
      <c r="E3" s="200"/>
      <c r="F3" s="200"/>
      <c r="G3" s="200"/>
      <c r="H3" s="200"/>
      <c r="I3" s="200"/>
      <c r="J3" s="200"/>
      <c r="K3" s="200"/>
      <c r="L3" s="200"/>
      <c r="M3" s="200"/>
      <c r="N3" s="200"/>
      <c r="O3" s="200"/>
      <c r="P3" s="200"/>
      <c r="Q3" s="200"/>
      <c r="R3" s="201"/>
    </row>
    <row r="4" spans="1:18" ht="16.05" customHeight="1" x14ac:dyDescent="0.25">
      <c r="D4" s="199"/>
      <c r="E4" s="200"/>
      <c r="F4" s="200"/>
      <c r="G4" s="200"/>
      <c r="H4" s="200"/>
      <c r="I4" s="200"/>
      <c r="J4" s="200"/>
      <c r="K4" s="200"/>
      <c r="L4" s="200"/>
      <c r="M4" s="200"/>
      <c r="N4" s="200"/>
      <c r="O4" s="200"/>
      <c r="P4" s="200"/>
      <c r="Q4" s="200"/>
      <c r="R4" s="201"/>
    </row>
    <row r="5" spans="1:18" ht="16.05" customHeight="1" thickBot="1" x14ac:dyDescent="0.3">
      <c r="D5" s="202"/>
      <c r="E5" s="203"/>
      <c r="F5" s="203"/>
      <c r="G5" s="203"/>
      <c r="H5" s="203"/>
      <c r="I5" s="203"/>
      <c r="J5" s="203"/>
      <c r="K5" s="203"/>
      <c r="L5" s="203"/>
      <c r="M5" s="203"/>
      <c r="N5" s="203"/>
      <c r="O5" s="203"/>
      <c r="P5" s="203"/>
      <c r="Q5" s="203"/>
      <c r="R5" s="204"/>
    </row>
    <row r="6" spans="1:18" s="15" customFormat="1" ht="16.05" customHeight="1" x14ac:dyDescent="0.25">
      <c r="C6" s="16"/>
      <c r="D6" s="16"/>
    </row>
    <row r="7" spans="1:18" ht="15.6" x14ac:dyDescent="0.3">
      <c r="A7" s="15"/>
      <c r="D7" s="42" t="str">
        <f>'D3'!C19</f>
        <v>questão 1</v>
      </c>
      <c r="E7" s="13" t="s">
        <v>2</v>
      </c>
    </row>
    <row r="8" spans="1:18" x14ac:dyDescent="0.25">
      <c r="A8" s="15"/>
    </row>
    <row r="9" spans="1:18" x14ac:dyDescent="0.25">
      <c r="A9" s="15"/>
      <c r="C9" s="66" t="str">
        <f>$A$24</f>
        <v>5-ÓTIMO</v>
      </c>
      <c r="D9" s="141">
        <f>(COUNTIF('D3'!C$2:C$6,5)+COUNTIF('D4'!C$2:C$5,5)+COUNTIF('D5'!C$2:C$3,5)+COUNTIF('D6'!C$2:C$6,5)+COUNTIF('D7'!C$2:C$6,5)+COUNTIF('D8'!C$2:C$6,5)+COUNTIF('D9'!C$2:C$9,5)+COUNTIF('D10'!C$2:C$7,5)+COUNTIF('D11'!C$2:C$3,5)+COUNTIF('D12'!C$2:C$4,5)+COUNTIF('D13'!C$2:C$17,5))/$A$20</f>
        <v>0.56896551724137934</v>
      </c>
    </row>
    <row r="10" spans="1:18" x14ac:dyDescent="0.25">
      <c r="A10" s="15"/>
      <c r="C10" s="67" t="str">
        <f>$A$25</f>
        <v>4-MUITO BOM</v>
      </c>
      <c r="D10" s="141">
        <f>(COUNTIF('D3'!C$2:C$6,4)+COUNTIF('D4'!C$2:C$5,4)+COUNTIF('D5'!C$2:C$3,4)+COUNTIF('D6'!C$2:C$6,4)+COUNTIF('D7'!C$2:C$6,4)+COUNTIF('D8'!C$2:C$6,4)+COUNTIF('D9'!C$2:C$9,4)+COUNTIF('D10'!C$2:C$7,4)+COUNTIF('D11'!C$2:C$3,4)+COUNTIF('D12'!C$2:C$4,4)+COUNTIF('D13'!C$2:C$17,4))/$A$20</f>
        <v>0.34482758620689657</v>
      </c>
    </row>
    <row r="11" spans="1:18" x14ac:dyDescent="0.25">
      <c r="A11" s="15"/>
      <c r="C11" s="67" t="str">
        <f>$A$26</f>
        <v>3-BOM</v>
      </c>
      <c r="D11" s="141">
        <f>(COUNTIF('D3'!C$2:C$6,3)+COUNTIF('D4'!C$2:C$5,3)+COUNTIF('D5'!C$2:C$3,3)+COUNTIF('D6'!C$2:C$6,3)+COUNTIF('D7'!C$2:C$6,3)+COUNTIF('D8'!C$2:C$6,3)+COUNTIF('D9'!C$2:C$9,3)+COUNTIF('D10'!C$2:C$7,3)+COUNTIF('D11'!C$2:C$3,3)+COUNTIF('D12'!C$2:C$4,3)+COUNTIF('D13'!C$2:C$17,3))/$A$20</f>
        <v>6.8965517241379309E-2</v>
      </c>
    </row>
    <row r="12" spans="1:18" x14ac:dyDescent="0.25">
      <c r="A12" s="15"/>
      <c r="C12" s="67" t="str">
        <f>$A$27</f>
        <v>2-REGULAR</v>
      </c>
      <c r="D12" s="141">
        <f>(COUNTIF('D3'!C$2:C$6,2)+COUNTIF('D4'!C$2:C$5,2)+COUNTIF('D5'!C$2:C$3,2)+COUNTIF('D6'!C$2:C$6,2)+COUNTIF('D7'!C$2:C$6,2)+COUNTIF('D8'!C$2:C$6,2)+COUNTIF('D9'!C$2:C$9,2)+COUNTIF('D10'!C$2:C$7,2)+COUNTIF('D11'!C$2:C$3,2)+COUNTIF('D12'!C$2:C$4,2)+COUNTIF('D13'!C$2:C$17,2))/$A$20</f>
        <v>0</v>
      </c>
    </row>
    <row r="13" spans="1:18" x14ac:dyDescent="0.25">
      <c r="A13" s="15"/>
      <c r="C13" s="67" t="str">
        <f>$A$28</f>
        <v>1-RUIM</v>
      </c>
      <c r="D13" s="141">
        <f>(COUNTIF('D3'!C$2:C$6,1)+COUNTIF('D4'!C$2:C$5,1)+COUNTIF('D5'!C$2:C$3,1)+COUNTIF('D6'!C$2:C$6,1)+COUNTIF('D7'!C$2:C$6,1)+COUNTIF('D8'!C$2:C$6,1)+COUNTIF('D9'!C$2:C$9,1)+COUNTIF('D10'!C$2:C$7,1)+COUNTIF('D11'!C$2:C$3,1)+COUNTIF('D12'!C$2:C$4,1)+COUNTIF('D13'!C$2:C$17,1))/$A$20</f>
        <v>0</v>
      </c>
    </row>
    <row r="14" spans="1:18" x14ac:dyDescent="0.25">
      <c r="A14" s="15"/>
      <c r="C14" s="68" t="str">
        <f>$A$29</f>
        <v>0-NÃO SE APLICA</v>
      </c>
      <c r="D14" s="141">
        <f>(COUNTIF('D3'!C$2:C$6,0)+COUNTIF('D4'!C$2:C$5,0)+COUNTIF('D5'!C$2:C$3,0)+COUNTIF('D6'!C$2:C$6,0)+COUNTIF('D7'!C$2:C$6,0)+COUNTIF('D8'!C$2:C$6,0)+COUNTIF('D9'!C$2:C$9,0)+COUNTIF('D10'!C$2:C$7,0)+COUNTIF('D11'!C$2:C$3,0)+COUNTIF('D12'!C$2:C$4,0)+COUNTIF('D13'!C$2:C$17,0))/$A$20</f>
        <v>1.7241379310344827E-2</v>
      </c>
    </row>
    <row r="15" spans="1:18" ht="15.6" x14ac:dyDescent="0.3">
      <c r="A15" s="15"/>
      <c r="C15" s="12"/>
    </row>
    <row r="16" spans="1:18" ht="21" x14ac:dyDescent="0.4">
      <c r="A16" s="192" t="s">
        <v>315</v>
      </c>
      <c r="C16" s="79" t="str">
        <f>D7</f>
        <v>questão 1</v>
      </c>
      <c r="D16" s="113" t="str">
        <f>D7</f>
        <v>questão 1</v>
      </c>
    </row>
    <row r="17" spans="1:5" ht="15.6" x14ac:dyDescent="0.3">
      <c r="C17" s="121" t="str">
        <f>'Dashboard-1-AVALIAÇÃO INST.'!$A$29</f>
        <v>MUITO BOM / ÓTIMO</v>
      </c>
      <c r="D17" s="99">
        <f>D9+D10</f>
        <v>0.91379310344827591</v>
      </c>
    </row>
    <row r="18" spans="1:5" ht="21" x14ac:dyDescent="0.4">
      <c r="A18" s="90" t="s">
        <v>317</v>
      </c>
      <c r="B18" s="48"/>
      <c r="C18" s="122" t="str">
        <f>'Dashboard-1-AVALIAÇÃO INST.'!$A$30</f>
        <v>BOM</v>
      </c>
      <c r="D18" s="101">
        <f>D11</f>
        <v>6.8965517241379309E-2</v>
      </c>
    </row>
    <row r="19" spans="1:5" ht="15.6" x14ac:dyDescent="0.3">
      <c r="A19" s="82" t="s">
        <v>282</v>
      </c>
      <c r="B19" s="49"/>
      <c r="C19" s="122" t="str">
        <f>'Dashboard-1-AVALIAÇÃO INST.'!$A$31</f>
        <v>RUIM / REGULAR</v>
      </c>
      <c r="D19" s="101">
        <f>D12+D13</f>
        <v>0</v>
      </c>
    </row>
    <row r="20" spans="1:5" ht="22.05" customHeight="1" x14ac:dyDescent="0.3">
      <c r="A20" s="179">
        <f>'D3'!A33+'D4'!A33+'D5'!A33+'D6'!A33+'D7'!A33+'D8'!$A$33+'D9'!$A$33+'D10'!$A$33+'D11'!$A$33+'D12'!$A$33+'D13'!$A$33</f>
        <v>58</v>
      </c>
      <c r="B20" s="50"/>
      <c r="C20" s="123" t="str">
        <f>'Dashboard-1-AVALIAÇÃO INST.'!$A$32</f>
        <v>NÃO SE APLICA / NÃO SEI</v>
      </c>
      <c r="D20" s="103">
        <f>D14</f>
        <v>1.7241379310344827E-2</v>
      </c>
    </row>
    <row r="21" spans="1:5" ht="16.05" customHeight="1" x14ac:dyDescent="0.25">
      <c r="C21" s="105">
        <f>(SUM(D17:D20))</f>
        <v>1</v>
      </c>
      <c r="D21" s="106" t="str">
        <f>IF(C21=100%, "CORRETO","ERRO")</f>
        <v>CORRETO</v>
      </c>
    </row>
    <row r="22" spans="1:5" ht="16.05" customHeight="1" x14ac:dyDescent="0.3">
      <c r="A22" s="205" t="s">
        <v>307</v>
      </c>
      <c r="B22" s="51"/>
      <c r="C22" s="15"/>
      <c r="D22" s="15"/>
    </row>
    <row r="23" spans="1:5" s="185" customFormat="1" ht="16.05" customHeight="1" x14ac:dyDescent="0.25">
      <c r="A23" s="206"/>
    </row>
    <row r="24" spans="1:5" ht="17.399999999999999" x14ac:dyDescent="0.3">
      <c r="A24" s="186" t="str">
        <f>'Dashboard-1-AVALIAÇÃO INST.'!$A$21</f>
        <v>5-ÓTIMO</v>
      </c>
      <c r="B24" s="16"/>
      <c r="D24" s="42" t="str">
        <f>'D3'!D19</f>
        <v>questão 2</v>
      </c>
      <c r="E24" s="12" t="str">
        <f>'D3'!$D$1</f>
        <v>02- Esta disciplina foi integrada com as demais disciplinas do PGMAT ?</v>
      </c>
    </row>
    <row r="25" spans="1:5" ht="17.399999999999999" x14ac:dyDescent="0.3">
      <c r="A25" s="186" t="str">
        <f>'Dashboard-1-AVALIAÇÃO INST.'!$A$22</f>
        <v>4-MUITO BOM</v>
      </c>
      <c r="B25" s="16"/>
    </row>
    <row r="26" spans="1:5" ht="17.399999999999999" x14ac:dyDescent="0.3">
      <c r="A26" s="186" t="str">
        <f>'Dashboard-1-AVALIAÇÃO INST.'!$A$23</f>
        <v>3-BOM</v>
      </c>
      <c r="B26" s="16"/>
      <c r="C26" s="66" t="str">
        <f>$A$24</f>
        <v>5-ÓTIMO</v>
      </c>
      <c r="D26" s="141">
        <f>(COUNTIF('D3'!D$2:D$6,5)+COUNTIF('D4'!D$2:D$5,5)+COUNTIF('D5'!D$2:D$3,5)+COUNTIF('D6'!D$2:D$6,5)+COUNTIF('D7'!D$2:D$6,5)+COUNTIF('D8'!D$2:D$6,5)+COUNTIF('D9'!D$2:D$9,5)+COUNTIF('D10'!D$2:D$7,5)+COUNTIF('D11'!D$2:D$3,5)+COUNTIF('D12'!D$2:D$4,5)+COUNTIF('D13'!D$2:D$17,5))/$A$20</f>
        <v>0.7068965517241379</v>
      </c>
    </row>
    <row r="27" spans="1:5" ht="17.399999999999999" x14ac:dyDescent="0.3">
      <c r="A27" s="186" t="str">
        <f>'Dashboard-1-AVALIAÇÃO INST.'!$A$24</f>
        <v>2-REGULAR</v>
      </c>
      <c r="B27" s="16"/>
      <c r="C27" s="67" t="str">
        <f>$A$25</f>
        <v>4-MUITO BOM</v>
      </c>
      <c r="D27" s="141">
        <f>(COUNTIF('D3'!D$2:D$6,4)+COUNTIF('D4'!D$2:D$5,4)+COUNTIF('D5'!D$2:D$3,4)+COUNTIF('D6'!D$2:D$6,4)+COUNTIF('D7'!D$2:D$6,4)+COUNTIF('D8'!D$2:D$6,4)+COUNTIF('D9'!D$2:D$9,4)+COUNTIF('D10'!D$2:D$7,4)+COUNTIF('D11'!D$2:D$3,4)+COUNTIF('D12'!D$2:D$4,4)+COUNTIF('D13'!D$2:D$17,4))/$A$20</f>
        <v>0.13793103448275862</v>
      </c>
    </row>
    <row r="28" spans="1:5" ht="17.399999999999999" x14ac:dyDescent="0.3">
      <c r="A28" s="186" t="str">
        <f>'Dashboard-1-AVALIAÇÃO INST.'!$A$25</f>
        <v>1-RUIM</v>
      </c>
      <c r="B28" s="16"/>
      <c r="C28" s="67" t="str">
        <f>$A$26</f>
        <v>3-BOM</v>
      </c>
      <c r="D28" s="141">
        <f>(COUNTIF('D3'!D$2:D$6,3)+COUNTIF('D4'!D$2:D$5,3)+COUNTIF('D5'!D$2:D$3,3)+COUNTIF('D6'!D$2:D$6,3)+COUNTIF('D7'!D$2:D$6,3)+COUNTIF('D8'!D$2:D$6,3)+COUNTIF('D9'!D$2:D$9,3)+COUNTIF('D10'!D$2:D$7,3)+COUNTIF('D11'!D$2:D$3,3)+COUNTIF('D12'!D$2:D$4,3)+COUNTIF('D13'!D$2:D$17,3))/$A$20</f>
        <v>8.6206896551724144E-2</v>
      </c>
    </row>
    <row r="29" spans="1:5" ht="17.399999999999999" x14ac:dyDescent="0.3">
      <c r="A29" s="186" t="str">
        <f>'Dashboard-1-AVALIAÇÃO INST.'!$A$26</f>
        <v>0-NÃO SE APLICA</v>
      </c>
      <c r="B29" s="16"/>
      <c r="C29" s="67" t="str">
        <f>$A$27</f>
        <v>2-REGULAR</v>
      </c>
      <c r="D29" s="141">
        <f>(COUNTIF('D3'!D$2:D$6,2)+COUNTIF('D4'!D$2:D$5,2)+COUNTIF('D5'!D$2:D$3,2)+COUNTIF('D6'!D$2:D$6,2)+COUNTIF('D7'!D$2:D$6,2)+COUNTIF('D8'!D$2:D$6,2)+COUNTIF('D9'!D$2:D$9,2)+COUNTIF('D10'!D$2:D$7,2)+COUNTIF('D11'!D$2:D$3,2)+COUNTIF('D12'!D$2:D$4,2)+COUNTIF('D13'!D$2:D$17,2))/$A$20</f>
        <v>0</v>
      </c>
    </row>
    <row r="30" spans="1:5" x14ac:dyDescent="0.25">
      <c r="B30" s="16"/>
      <c r="C30" s="67" t="str">
        <f>$A$28</f>
        <v>1-RUIM</v>
      </c>
      <c r="D30" s="141">
        <f>(COUNTIF('D3'!D$2:D$6,1)+COUNTIF('D4'!D$2:D$5,1)+COUNTIF('D5'!D$2:D$3,1)+COUNTIF('D6'!D$2:D$6,1)+COUNTIF('D7'!D$2:D$6,1)+COUNTIF('D8'!D$2:D$6,1)+COUNTIF('D9'!D$2:D$9,1 )+COUNTIF('D10'!D$2:D$7,1)+COUNTIF('D11'!D$2:D$3,1)+COUNTIF('D12'!D$2:D$4,1)+COUNTIF('D13'!D$2:D$17,1))/$A$20</f>
        <v>1.7241379310344827E-2</v>
      </c>
    </row>
    <row r="31" spans="1:5" ht="15.6" x14ac:dyDescent="0.3">
      <c r="A31" s="14" t="s">
        <v>278</v>
      </c>
      <c r="B31" s="16"/>
      <c r="C31" s="68" t="str">
        <f>$A$29</f>
        <v>0-NÃO SE APLICA</v>
      </c>
      <c r="D31" s="141">
        <f>(COUNTIF('D3'!D$2:D$6,0)+COUNTIF('D4'!D$2:D$5,0)+COUNTIF('D5'!D$2:D$3,0)+COUNTIF('D6'!D$2:D$6,0)+COUNTIF('D7'!D$2:D$6,0)+COUNTIF('D8'!D$2:D$6,0)+COUNTIF('D9'!D$2:D$9,0)+COUNTIF('D10'!D$2:D$7,0)+COUNTIF('D11'!D$2:D$3,0)+COUNTIF('D12'!D$2:D$4,0)+COUNTIF('D13'!D$2:D$17,0))/$A$20</f>
        <v>5.1724137931034482E-2</v>
      </c>
    </row>
    <row r="32" spans="1:5" ht="15.6" x14ac:dyDescent="0.3">
      <c r="B32" s="16"/>
      <c r="C32" s="12"/>
    </row>
    <row r="33" spans="1:5" ht="20.399999999999999" x14ac:dyDescent="0.35">
      <c r="A33" s="93" t="s">
        <v>286</v>
      </c>
      <c r="B33" s="16"/>
      <c r="C33" s="79"/>
      <c r="D33" s="113" t="str">
        <f>D24</f>
        <v>questão 2</v>
      </c>
    </row>
    <row r="34" spans="1:5" ht="20.399999999999999" x14ac:dyDescent="0.35">
      <c r="A34" s="93" t="s">
        <v>287</v>
      </c>
      <c r="B34" s="16"/>
      <c r="C34" s="121" t="str">
        <f>'Dashboard-1-AVALIAÇÃO INST.'!$A$29</f>
        <v>MUITO BOM / ÓTIMO</v>
      </c>
      <c r="D34" s="99">
        <f>D26+D27</f>
        <v>0.84482758620689657</v>
      </c>
    </row>
    <row r="35" spans="1:5" ht="20.399999999999999" x14ac:dyDescent="0.35">
      <c r="A35" s="93" t="s">
        <v>288</v>
      </c>
      <c r="B35" s="18"/>
      <c r="C35" s="122" t="str">
        <f>'Dashboard-1-AVALIAÇÃO INST.'!$A$30</f>
        <v>BOM</v>
      </c>
      <c r="D35" s="101">
        <f>D28</f>
        <v>8.6206896551724144E-2</v>
      </c>
    </row>
    <row r="36" spans="1:5" ht="20.399999999999999" x14ac:dyDescent="0.35">
      <c r="A36" s="93" t="s">
        <v>289</v>
      </c>
      <c r="B36" s="16"/>
      <c r="C36" s="122" t="str">
        <f>'Dashboard-1-AVALIAÇÃO INST.'!$A$31</f>
        <v>RUIM / REGULAR</v>
      </c>
      <c r="D36" s="101">
        <f>D29+D30</f>
        <v>1.7241379310344827E-2</v>
      </c>
    </row>
    <row r="37" spans="1:5" ht="20.399999999999999" x14ac:dyDescent="0.35">
      <c r="A37" s="93" t="s">
        <v>290</v>
      </c>
      <c r="B37" s="16"/>
      <c r="C37" s="123" t="str">
        <f>'Dashboard-1-AVALIAÇÃO INST.'!$A$32</f>
        <v>NÃO SE APLICA / NÃO SEI</v>
      </c>
      <c r="D37" s="103">
        <f>D31</f>
        <v>5.1724137931034482E-2</v>
      </c>
    </row>
    <row r="38" spans="1:5" ht="20.399999999999999" x14ac:dyDescent="0.35">
      <c r="A38" s="93" t="s">
        <v>292</v>
      </c>
      <c r="C38" s="105">
        <f>(SUM(D34:D37))</f>
        <v>1.0000000000000002</v>
      </c>
      <c r="D38" s="106" t="str">
        <f>IF(C38=100%, "CORRETO","ERRO")</f>
        <v>CORRETO</v>
      </c>
    </row>
    <row r="39" spans="1:5" ht="20.399999999999999" x14ac:dyDescent="0.35">
      <c r="A39" s="93" t="s">
        <v>291</v>
      </c>
    </row>
    <row r="40" spans="1:5" ht="20.399999999999999" x14ac:dyDescent="0.35">
      <c r="A40" s="93" t="s">
        <v>293</v>
      </c>
    </row>
    <row r="41" spans="1:5" ht="20.399999999999999" x14ac:dyDescent="0.35">
      <c r="A41" s="93" t="s">
        <v>294</v>
      </c>
    </row>
    <row r="42" spans="1:5" ht="20.399999999999999" x14ac:dyDescent="0.35">
      <c r="A42" s="93" t="s">
        <v>295</v>
      </c>
    </row>
    <row r="43" spans="1:5" ht="20.399999999999999" x14ac:dyDescent="0.35">
      <c r="A43" s="93" t="s">
        <v>296</v>
      </c>
      <c r="D43" s="42" t="str">
        <f>'D3'!E19</f>
        <v>questão 3</v>
      </c>
      <c r="E43" s="12" t="str">
        <f>'D3'!$E$1</f>
        <v>03- Os conteúdos ministrados em semestres anteriores contribuíram para a compreensão desta disciplina ?</v>
      </c>
    </row>
    <row r="45" spans="1:5" ht="17.399999999999999" x14ac:dyDescent="0.3">
      <c r="A45" s="88" t="s">
        <v>242</v>
      </c>
      <c r="C45" s="66" t="str">
        <f>$A$24</f>
        <v>5-ÓTIMO</v>
      </c>
      <c r="D45" s="141">
        <f>(COUNTIF('D3'!E$2:E$6,5)+COUNTIF('D4'!E$2:E$5,5)+COUNTIF('D5'!E$2:E$3,5)+COUNTIF('D6'!E$2:E$6,5)+COUNTIF('D7'!E$2:E$6,5)+COUNTIF('D8'!E$2:E$6,5)+COUNTIF('D9'!E$2:E$9,5)+COUNTIF('D10'!E$2:E$7,5)+COUNTIF('D11'!E$2:E$3,5)+COUNTIF('D12'!E$2:E$4,5)+COUNTIF('D13'!E$2:E$17,5))/$A$20</f>
        <v>0.56896551724137934</v>
      </c>
    </row>
    <row r="46" spans="1:5" x14ac:dyDescent="0.25">
      <c r="A46" s="11"/>
      <c r="C46" s="67" t="str">
        <f>$A$25</f>
        <v>4-MUITO BOM</v>
      </c>
      <c r="D46" s="141">
        <f>(COUNTIF('D3'!E$2:E$6,4)+COUNTIF('D4'!E$2:E$5,4)+COUNTIF('D5'!E$2:E$3,4)+COUNTIF('D6'!E$2:E$6,4)+COUNTIF('D7'!E$2:E$6,4)+COUNTIF('D8'!E$2:E$6,4)+COUNTIF('D9'!E$2:E$9,4)+COUNTIF('D10'!E$2:E$7,4)+COUNTIF('D11'!E$2:E$3,4)+COUNTIF('D12'!E$2:E$4,4)+COUNTIF('D13'!E$2:E$17,4))/$A$20</f>
        <v>0.17241379310344829</v>
      </c>
    </row>
    <row r="47" spans="1:5" ht="17.399999999999999" x14ac:dyDescent="0.3">
      <c r="A47" s="87" t="s">
        <v>269</v>
      </c>
      <c r="C47" s="67" t="str">
        <f>$A$26</f>
        <v>3-BOM</v>
      </c>
      <c r="D47" s="141">
        <f>(COUNTIF('D3'!E$2:E$6,3)+COUNTIF('D4'!E$2:E$5,3)+COUNTIF('D5'!E$2:E$3,3)+COUNTIF('D6'!E$2:E$6,3)+COUNTIF('D7'!E$2:E$6,3)+COUNTIF('D8'!E$2:E$6,3)+COUNTIF('D9'!E$2:E$9,3)+COUNTIF('D10'!E$2:E$7,3)+COUNTIF('D11'!E$2:E$3,3)+COUNTIF('D12'!E$2:E$4,3)+COUNTIF('D13'!E$2:E$17,3))/$A$20</f>
        <v>8.6206896551724144E-2</v>
      </c>
    </row>
    <row r="48" spans="1:5" ht="17.399999999999999" x14ac:dyDescent="0.3">
      <c r="A48" s="87" t="s">
        <v>270</v>
      </c>
      <c r="C48" s="67" t="str">
        <f>$A$27</f>
        <v>2-REGULAR</v>
      </c>
      <c r="D48" s="141">
        <f>(COUNTIF('D3'!E$2:E$6,2)+COUNTIF('D4'!E$2:E$5,2)+COUNTIF('D5'!E$2:E$3,2)+COUNTIF('D6'!E$2:E$6,2)+COUNTIF('D7'!E$2:E$6,2)+COUNTIF('D8'!E$2:E$6,2)+COUNTIF('D9'!E$2:E$9,2)+COUNTIF('D10'!E$2:E$7,2)+COUNTIF('D11'!E$2:E$3,2)+COUNTIF('D12'!E$2:E$4,2)+COUNTIF('D13'!E$2:E$17,2))/$A$20</f>
        <v>6.8965517241379309E-2</v>
      </c>
    </row>
    <row r="49" spans="1:5" x14ac:dyDescent="0.25">
      <c r="C49" s="67" t="str">
        <f>$A$28</f>
        <v>1-RUIM</v>
      </c>
      <c r="D49" s="141">
        <f>(COUNTIF('D3'!E$2:E$6,1)+COUNTIF('D4'!E$2:E$5,1)+COUNTIF('D5'!E$2:E$3,1)+COUNTIF('D6'!E$2:E$6,1)+COUNTIF('D7'!E$2:E$6,1)+COUNTIF('D8'!E$2:E$6,1)+COUNTIF('D9'!E$2:E$9,1)+COUNTIF('D10'!E$2:E$7,1)+COUNTIF('D11'!E$2:E$3,1)+COUNTIF('D12'!E$2:E$4,1)+COUNTIF('D13'!E$2:E$17,1))/$A$20</f>
        <v>1.7241379310344827E-2</v>
      </c>
    </row>
    <row r="50" spans="1:5" x14ac:dyDescent="0.25">
      <c r="A50" s="83"/>
      <c r="C50" s="68" t="str">
        <f>$A$29</f>
        <v>0-NÃO SE APLICA</v>
      </c>
      <c r="D50" s="141">
        <f>(COUNTIF('D3'!E$2:E$6,0)+COUNTIF('D4'!E$2:E$5,0)+COUNTIF('D5'!E$2:E$3,0)+COUNTIF('D6'!E$2:E$6,0)+COUNTIF('D8'!E$2:E$6,0)+COUNTIF('D9'!E$2:E$9,0)+COUNTIF('D10'!E$2:E$7,0)+COUNTIF('D11'!E$2:E$3,0)+COUNTIF('D12'!E$2:E$4,0)+COUNTIF('D13'!E$2:E$17,0))/$A$20</f>
        <v>8.6206896551724144E-2</v>
      </c>
    </row>
    <row r="51" spans="1:5" ht="15.6" x14ac:dyDescent="0.3">
      <c r="C51" s="12"/>
    </row>
    <row r="52" spans="1:5" ht="21" x14ac:dyDescent="0.4">
      <c r="A52" s="157" t="s">
        <v>310</v>
      </c>
      <c r="C52" s="79"/>
      <c r="D52" s="113" t="str">
        <f>D43</f>
        <v>questão 3</v>
      </c>
    </row>
    <row r="53" spans="1:5" ht="15.6" x14ac:dyDescent="0.3">
      <c r="C53" s="121" t="str">
        <f>'Dashboard-1-AVALIAÇÃO INST.'!$A$29</f>
        <v>MUITO BOM / ÓTIMO</v>
      </c>
      <c r="D53" s="99">
        <f>D45+D46</f>
        <v>0.74137931034482762</v>
      </c>
    </row>
    <row r="54" spans="1:5" ht="17.399999999999999" x14ac:dyDescent="0.3">
      <c r="A54" s="125" t="s">
        <v>30</v>
      </c>
      <c r="B54" s="126">
        <f>('D3'!B35+'D4'!B35+'D5'!B35+'D6'!B35+'D7'!B35+'D8'!B35+'D9'!B35+'D10'!B35+'D11'!B35+'D12'!B35+'D13'!B35)</f>
        <v>48</v>
      </c>
      <c r="C54" s="122" t="str">
        <f>'Dashboard-1-AVALIAÇÃO INST.'!$A$30</f>
        <v>BOM</v>
      </c>
      <c r="D54" s="101">
        <f>D47</f>
        <v>8.6206896551724144E-2</v>
      </c>
    </row>
    <row r="55" spans="1:5" ht="17.399999999999999" x14ac:dyDescent="0.3">
      <c r="A55" s="125" t="s">
        <v>29</v>
      </c>
      <c r="B55" s="126">
        <f>('D3'!B36+'D4'!B36+'D5'!B36+'D6'!B36+'D7'!B36+'D8'!B36+'D9'!B36+'D10'!B36+'D11'!B36+'D12'!B36+'D13'!B36)</f>
        <v>10</v>
      </c>
      <c r="C55" s="122" t="str">
        <f>'Dashboard-1-AVALIAÇÃO INST.'!$A$31</f>
        <v>RUIM / REGULAR</v>
      </c>
      <c r="D55" s="101">
        <f>D48+D49</f>
        <v>8.6206896551724144E-2</v>
      </c>
    </row>
    <row r="56" spans="1:5" ht="15.6" x14ac:dyDescent="0.3">
      <c r="A56" s="127">
        <f>B54/$B$56</f>
        <v>0.82758620689655171</v>
      </c>
      <c r="B56" s="129">
        <f>SUM(B54:B55)</f>
        <v>58</v>
      </c>
      <c r="C56" s="123" t="str">
        <f>'Dashboard-1-AVALIAÇÃO INST.'!$A$32</f>
        <v>NÃO SE APLICA / NÃO SEI</v>
      </c>
      <c r="D56" s="103">
        <f>D50</f>
        <v>8.6206896551724144E-2</v>
      </c>
    </row>
    <row r="57" spans="1:5" x14ac:dyDescent="0.25">
      <c r="A57" s="127">
        <f>B55/$B$56</f>
        <v>0.17241379310344829</v>
      </c>
      <c r="C57" s="105">
        <f>(SUM(D53:D56))</f>
        <v>1.0000000000000002</v>
      </c>
      <c r="D57" s="106" t="str">
        <f>IF(C57=100%, "CORRETO","ERRO")</f>
        <v>CORRETO</v>
      </c>
    </row>
    <row r="58" spans="1:5" x14ac:dyDescent="0.25">
      <c r="A58" s="128">
        <f>SUM(A56:A57)</f>
        <v>1</v>
      </c>
    </row>
    <row r="59" spans="1:5" x14ac:dyDescent="0.25">
      <c r="A59" s="164" t="str">
        <f>IF(B56=A20,"Verificado!","ERRO!")</f>
        <v>Verificado!</v>
      </c>
    </row>
    <row r="62" spans="1:5" ht="15.6" x14ac:dyDescent="0.3">
      <c r="D62" s="42" t="str">
        <f>'D3'!$F$19</f>
        <v>questão 4</v>
      </c>
      <c r="E62" s="12" t="str">
        <f>'D3'!$F$1</f>
        <v>04- Os conteúdos ministrados na disciplina e seus respectivos recursos são atualizados ?</v>
      </c>
    </row>
    <row r="63" spans="1:5" ht="17.399999999999999" x14ac:dyDescent="0.3">
      <c r="A63" s="57"/>
    </row>
    <row r="64" spans="1:5" x14ac:dyDescent="0.25">
      <c r="C64" s="66" t="str">
        <f>$A$24</f>
        <v>5-ÓTIMO</v>
      </c>
      <c r="D64" s="141">
        <f>(COUNTIF('D3'!F$2:F$6,5)+COUNTIF('D4'!F$2:F$5,5)+COUNTIF('D5'!F$2:F$3,5)+COUNTIF('D6'!F$2:F$6,5)+COUNTIF('D7'!F$2:F$6,5)+COUNTIF('D8'!F$2:F$6,5)+COUNTIF('D9'!F$2:F$9,5)+COUNTIF('D10'!F$2:F$7,5)+COUNTIF('D11'!F$2:F$3,5)+COUNTIF('D12'!F$2:F$4,5)+COUNTIF('D13'!F$2:F$17,5))/$A$20</f>
        <v>0.65517241379310343</v>
      </c>
    </row>
    <row r="65" spans="1:4" x14ac:dyDescent="0.25">
      <c r="C65" s="67" t="str">
        <f>$A$25</f>
        <v>4-MUITO BOM</v>
      </c>
      <c r="D65" s="141">
        <f>(COUNTIF('D3'!F$2:F$6,4)+COUNTIF('D4'!F$2:F$5,4)+COUNTIF('D5'!F$2:F$3,4)+COUNTIF('D6'!F$2:F$6,4)+COUNTIF('D7'!F$2:F$6,4)+COUNTIF('D8'!F$2:F$6,4)+COUNTIF('D9'!F$2:F$9,4)+COUNTIF('D10'!F$2:F$7,4)+COUNTIF('D11'!F$2:F$3,4)+COUNTIF('D12'!F$2:F$4,4)+COUNTIF('D13'!F$2:F$17,4))/$A$20</f>
        <v>0.22413793103448276</v>
      </c>
    </row>
    <row r="66" spans="1:4" x14ac:dyDescent="0.25">
      <c r="C66" s="67" t="str">
        <f>$A$26</f>
        <v>3-BOM</v>
      </c>
      <c r="D66" s="141">
        <f>(COUNTIF('D3'!F$2:F$6,3)+COUNTIF('D4'!F$2:F$5,3)+COUNTIF('D5'!F$2:F$3,3)+COUNTIF('D6'!F$2:F$6,3)+COUNTIF('D7'!F$2:F$6,3)+COUNTIF('D8'!F$2:F$6,3)+COUNTIF('D9'!F$2:F$9,3)+COUNTIF('D10'!F$2:F$7,3)+COUNTIF('D11'!F$2:F$3,3)+COUNTIF('D12'!F$2:F$4,3)+COUNTIF('D13'!F$2:F$17,3))/$A$20</f>
        <v>5.1724137931034482E-2</v>
      </c>
    </row>
    <row r="67" spans="1:4" x14ac:dyDescent="0.25">
      <c r="C67" s="67" t="str">
        <f>$A$27</f>
        <v>2-REGULAR</v>
      </c>
      <c r="D67" s="141">
        <f>(COUNTIF('D3'!F$2:F$6,2)+COUNTIF('D4'!F$2:F$5,2)+COUNTIF('D5'!F$2:F$3,2)+COUNTIF('D6'!F$2:F$6,2)+COUNTIF('D7'!F$2:F$6,2)+COUNTIF('D8'!F$2:F$6,2)+COUNTIF('D9'!F$2:F$9,2)+COUNTIF('D10'!F$2:F$7,2)+COUNTIF('D11'!F$2:F$3,2)+COUNTIF('D12'!F$2:F$4,2)+COUNTIF('D13'!F$2:F$17,2))/$A$20</f>
        <v>5.1724137931034482E-2</v>
      </c>
    </row>
    <row r="68" spans="1:4" x14ac:dyDescent="0.25">
      <c r="C68" s="67" t="str">
        <f>$A$28</f>
        <v>1-RUIM</v>
      </c>
      <c r="D68" s="141">
        <f>(COUNTIF('D3'!F$2:F$6,1)+COUNTIF('D4'!F$2:F$5,1)+COUNTIF('D5'!F$2:F$3,1)+COUNTIF('D6'!F$2:F$6,1)+COUNTIF('D7'!F$2:F$6,1)+COUNTIF('D8'!F$2:F$6,1)+COUNTIF('D9'!F$2:F$9,1)+COUNTIF('D10'!F$2:F$7,1)+COUNTIF('D11'!F$2:F$3,1)+COUNTIF('D12'!F$2:F$4,1)+COUNTIF('D13'!F$2:F$17,1))/$A$20</f>
        <v>0</v>
      </c>
    </row>
    <row r="69" spans="1:4" x14ac:dyDescent="0.25">
      <c r="C69" s="68" t="str">
        <f>$A$29</f>
        <v>0-NÃO SE APLICA</v>
      </c>
      <c r="D69" s="141">
        <f>(COUNTIF('D3'!F$2:F$6,0)+COUNTIF('D4'!F$2:F$5,0)+COUNTIF('D5'!F$2:F$3,0)+COUNTIF('D6'!F$2:F$6,0)+COUNTIF('D7'!F$2:F$6,0)+COUNTIF('D8'!F$2:F$6,0)+COUNTIF('D9'!F$2:F$9,0)+COUNTIF('D10'!F$2:F$7,0)+COUNTIF('D11'!F$2:F$3,0)+COUNTIF('D12'!F$2:F$4,0)+COUNTIF('D13'!F$2:F$17,0))/$A$20</f>
        <v>1.7241379310344827E-2</v>
      </c>
    </row>
    <row r="70" spans="1:4" ht="15.6" x14ac:dyDescent="0.3">
      <c r="C70" s="12"/>
    </row>
    <row r="71" spans="1:4" ht="15.6" x14ac:dyDescent="0.3">
      <c r="C71" s="79"/>
      <c r="D71" s="113" t="str">
        <f>D62</f>
        <v>questão 4</v>
      </c>
    </row>
    <row r="72" spans="1:4" ht="15.6" x14ac:dyDescent="0.3">
      <c r="C72" s="121" t="str">
        <f>'Dashboard-1-AVALIAÇÃO INST.'!$A$29</f>
        <v>MUITO BOM / ÓTIMO</v>
      </c>
      <c r="D72" s="99">
        <f>D64+D65</f>
        <v>0.87931034482758619</v>
      </c>
    </row>
    <row r="73" spans="1:4" ht="15.6" x14ac:dyDescent="0.3">
      <c r="C73" s="122" t="str">
        <f>'Dashboard-1-AVALIAÇÃO INST.'!$A$30</f>
        <v>BOM</v>
      </c>
      <c r="D73" s="101">
        <f>D66</f>
        <v>5.1724137931034482E-2</v>
      </c>
    </row>
    <row r="74" spans="1:4" ht="15.6" x14ac:dyDescent="0.3">
      <c r="C74" s="122" t="str">
        <f>'Dashboard-1-AVALIAÇÃO INST.'!$A$31</f>
        <v>RUIM / REGULAR</v>
      </c>
      <c r="D74" s="101">
        <f>D67+D68</f>
        <v>5.1724137931034482E-2</v>
      </c>
    </row>
    <row r="75" spans="1:4" ht="15.6" x14ac:dyDescent="0.3">
      <c r="C75" s="123" t="str">
        <f>'Dashboard-1-AVALIAÇÃO INST.'!$A$32</f>
        <v>NÃO SE APLICA / NÃO SEI</v>
      </c>
      <c r="D75" s="103">
        <f>D69</f>
        <v>1.7241379310344827E-2</v>
      </c>
    </row>
    <row r="76" spans="1:4" x14ac:dyDescent="0.25">
      <c r="C76" s="105">
        <f>(SUM(D72:D75))</f>
        <v>1</v>
      </c>
      <c r="D76" s="106" t="str">
        <f>IF(C76=100%, "CORRETO","ERRO")</f>
        <v>CORRETO</v>
      </c>
    </row>
    <row r="77" spans="1:4" x14ac:dyDescent="0.25">
      <c r="A77" s="89"/>
    </row>
    <row r="81" spans="3:5" ht="15.6" x14ac:dyDescent="0.3">
      <c r="D81" s="42" t="str">
        <f>'D3'!G19</f>
        <v>questão 5</v>
      </c>
      <c r="E81" s="12" t="str">
        <f>'D3'!G1</f>
        <v>05- As avaliações realizadas nesta disciplina foram coerentes com os conteúdos ministrados e os objetivos estabelecidos no Plano de Ensino?</v>
      </c>
    </row>
    <row r="83" spans="3:5" x14ac:dyDescent="0.25">
      <c r="C83" s="66" t="str">
        <f>$A$24</f>
        <v>5-ÓTIMO</v>
      </c>
      <c r="D83" s="141">
        <f>(COUNTIF('D3'!G$2:G$6,5)+COUNTIF('D4'!G$2:G$5,5)+COUNTIF('D5'!G$2:G$3,5)+COUNTIF('D6'!G$2:G$6,5)+COUNTIF('D7'!G$2:G$6,5)+COUNTIF('D8'!G$2:G$6,5)+COUNTIF('D9'!G$2:G$9,5)+COUNTIF('D10'!G$2:G$7,5)+COUNTIF('D11'!G$2:G$3,5)+COUNTIF('D12'!G$2:G$4,5)+COUNTIF('D13'!G$2:G$17,5))/$A$20</f>
        <v>0.7931034482758621</v>
      </c>
    </row>
    <row r="84" spans="3:5" x14ac:dyDescent="0.25">
      <c r="C84" s="67" t="str">
        <f>$A$25</f>
        <v>4-MUITO BOM</v>
      </c>
      <c r="D84" s="141">
        <f>(COUNTIF('D3'!G$2:G$6,4)+COUNTIF('D4'!G$2:G$5,4)+COUNTIF('D5'!G$2:G$3,4)+COUNTIF('D6'!G$2:G$6,4)+COUNTIF('D7'!G$2:G$6,4)+COUNTIF('D8'!G$2:G$6,4)+COUNTIF('D9'!G$2:G$9,4)+COUNTIF('D10'!G$2:G$7,4)+COUNTIF('D11'!G$2:G$3,4)+COUNTIF('D12'!G$2:G$4,4)+COUNTIF('D13'!G$2:G$17,4))/$A$20</f>
        <v>0.17241379310344829</v>
      </c>
    </row>
    <row r="85" spans="3:5" x14ac:dyDescent="0.25">
      <c r="C85" s="67" t="str">
        <f>$A$26</f>
        <v>3-BOM</v>
      </c>
      <c r="D85" s="141">
        <f>(COUNTIF('D3'!G$2:G$6,3)+COUNTIF('D4'!G$2:G$5,3)+COUNTIF('D5'!G$2:G$3,3)+COUNTIF('D6'!G$2:G$6,3)+COUNTIF('D7'!G$2:G$6,3)+COUNTIF('D8'!G$2:G$6,3)+COUNTIF('D9'!G$2:G$9,3)+COUNTIF('D10'!G$2:G$7,3)+COUNTIF('D11'!G$2:G$3,3)+COUNTIF('D12'!G$2:G$4,3)+COUNTIF('D13'!G$2:G$17,3))/$A$20</f>
        <v>1.7241379310344827E-2</v>
      </c>
    </row>
    <row r="86" spans="3:5" x14ac:dyDescent="0.25">
      <c r="C86" s="67" t="str">
        <f>$A$27</f>
        <v>2-REGULAR</v>
      </c>
      <c r="D86" s="141">
        <f>(COUNTIF('D3'!G$2:G$6,2)+COUNTIF('D4'!G$2:G$5,2)+COUNTIF('D5'!G$2:G$3,2)+COUNTIF('D6'!G$2:G$6,2)+COUNTIF('D7'!G$2:G$6,2)+COUNTIF('D8'!G$2:G$6,2)+COUNTIF('D9'!G$2:G$9,2)+COUNTIF('D10'!G$2:G$7,2)+COUNTIF('D11'!G$2:G$3,2)+COUNTIF('D12'!G$2:G$4,2)+COUNTIF('D13'!G$2:G$17,2))/$A$20</f>
        <v>0</v>
      </c>
    </row>
    <row r="87" spans="3:5" x14ac:dyDescent="0.25">
      <c r="C87" s="67" t="str">
        <f>$A$28</f>
        <v>1-RUIM</v>
      </c>
      <c r="D87" s="141">
        <f>(COUNTIF('D3'!G$2:G$6,1)+COUNTIF('D4'!G$2:G$5,1)+COUNTIF('D5'!G$2:G$3,1)+COUNTIF('D6'!G$2:G$6,1)+COUNTIF('D7'!G$2:G$6,1)+COUNTIF('D8'!G$2:G$6,1)+COUNTIF('D9'!G$2:G$9,1)+COUNTIF('D10'!G$2:G$7,1)+COUNTIF('D11'!G$2:G$3,1)+COUNTIF('D12'!G$2:G$4,1)+COUNTIF('D13'!G$2:G$17,1))/$A$20</f>
        <v>0</v>
      </c>
    </row>
    <row r="88" spans="3:5" x14ac:dyDescent="0.25">
      <c r="C88" s="68" t="str">
        <f>$A$29</f>
        <v>0-NÃO SE APLICA</v>
      </c>
      <c r="D88" s="141">
        <f>(COUNTIF('D3'!G$2:G$6,0)+COUNTIF('D4'!G$2:G$5,0)+COUNTIF('D5'!G$2:G$3,0)+COUNTIF('D6'!G$2:G$6,0)+COUNTIF('D7'!G$2:G$6,0)+COUNTIF('D8'!G$2:G$6,0)+COUNTIF('D9'!G$2:G$9,0)+COUNTIF('D10'!G$2:G$7,0)+COUNTIF('D11'!G$2:G$3,0)+COUNTIF('D12'!G$2:G$4,0)+COUNTIF('D13'!G$2:G$17,0))/$A$20</f>
        <v>1.7241379310344827E-2</v>
      </c>
    </row>
    <row r="89" spans="3:5" ht="15.6" x14ac:dyDescent="0.3">
      <c r="C89" s="12"/>
    </row>
    <row r="90" spans="3:5" ht="15.6" x14ac:dyDescent="0.3">
      <c r="C90" s="79"/>
      <c r="D90" s="113" t="str">
        <f>D81</f>
        <v>questão 5</v>
      </c>
    </row>
    <row r="91" spans="3:5" ht="15.6" x14ac:dyDescent="0.3">
      <c r="C91" s="121" t="str">
        <f>'Dashboard-1-AVALIAÇÃO INST.'!$A$29</f>
        <v>MUITO BOM / ÓTIMO</v>
      </c>
      <c r="D91" s="99">
        <f>D83+D84</f>
        <v>0.96551724137931039</v>
      </c>
    </row>
    <row r="92" spans="3:5" ht="15.6" x14ac:dyDescent="0.3">
      <c r="C92" s="122" t="str">
        <f>'Dashboard-1-AVALIAÇÃO INST.'!$A$30</f>
        <v>BOM</v>
      </c>
      <c r="D92" s="101">
        <f>D85</f>
        <v>1.7241379310344827E-2</v>
      </c>
    </row>
    <row r="93" spans="3:5" ht="15.6" x14ac:dyDescent="0.3">
      <c r="C93" s="122" t="str">
        <f>'Dashboard-1-AVALIAÇÃO INST.'!$A$31</f>
        <v>RUIM / REGULAR</v>
      </c>
      <c r="D93" s="101">
        <f>D86+D87</f>
        <v>0</v>
      </c>
    </row>
    <row r="94" spans="3:5" ht="15.6" x14ac:dyDescent="0.3">
      <c r="C94" s="123" t="str">
        <f>'Dashboard-1-AVALIAÇÃO INST.'!$A$32</f>
        <v>NÃO SE APLICA / NÃO SEI</v>
      </c>
      <c r="D94" s="103">
        <f>D88</f>
        <v>1.7241379310344827E-2</v>
      </c>
    </row>
    <row r="95" spans="3:5" x14ac:dyDescent="0.25">
      <c r="C95" s="105">
        <f>(SUM(D91:D94))</f>
        <v>1</v>
      </c>
      <c r="D95" s="106" t="str">
        <f>IF(C95=100%, "CORRETO","ERRO")</f>
        <v>CORRETO</v>
      </c>
    </row>
    <row r="101" spans="3:5" ht="15.6" x14ac:dyDescent="0.3">
      <c r="D101" s="42" t="str">
        <f>'D3'!I19</f>
        <v>questão 7</v>
      </c>
      <c r="E101" s="12" t="str">
        <f>'D3'!I1</f>
        <v>07- O Plano de Ensino da disciplina foi coerente com o conteúdo da ementa ?</v>
      </c>
    </row>
    <row r="103" spans="3:5" x14ac:dyDescent="0.25">
      <c r="C103" s="66" t="str">
        <f>$A$24</f>
        <v>5-ÓTIMO</v>
      </c>
      <c r="D103" s="141">
        <f>(COUNTIF('D3'!I$2:I$6,5)+COUNTIF('D4'!I$2:I$5,5)+COUNTIF('D5'!I$2:I$3,5)+COUNTIF('D6'!I$2:I$6,5)+COUNTIF('D7'!I$2:I$6,5)+COUNTIF('D8'!I$2:I$6,5)+COUNTIF('D9'!I$2:I$9,5)+COUNTIF('D10'!I$2:I$7,5)+COUNTIF('D11'!I$2:I$3,5)+COUNTIF('D12'!I$2:I$4,5)+COUNTIF('D13'!I$2:I$17,5))/$A$20</f>
        <v>0.7931034482758621</v>
      </c>
    </row>
    <row r="104" spans="3:5" x14ac:dyDescent="0.25">
      <c r="C104" s="67" t="str">
        <f>$A$25</f>
        <v>4-MUITO BOM</v>
      </c>
      <c r="D104" s="141">
        <f>(COUNTIF('D3'!I$2:I$6,4)+COUNTIF('D4'!I$2:I$5,4)+COUNTIF('D5'!I$2:I$3,4)+COUNTIF('D6'!I$2:I$6,4)+COUNTIF('D7'!I$2:I$6,4)+COUNTIF('D8'!I$2:I$6,4)+COUNTIF('D9'!I$2:I$9,4)+COUNTIF('D10'!I$2:I$7,4)+COUNTIF('D11'!I$2:I$3,4)+COUNTIF('D12'!I$2:I$4,4)+COUNTIF('D13'!I$2:I$17,4))/$A$20</f>
        <v>0.1206896551724138</v>
      </c>
    </row>
    <row r="105" spans="3:5" x14ac:dyDescent="0.25">
      <c r="C105" s="67" t="str">
        <f>$A$26</f>
        <v>3-BOM</v>
      </c>
      <c r="D105" s="141">
        <f>(COUNTIF('D3'!I$2:I$6,3)+COUNTIF('D4'!I$2:I$5,3)+COUNTIF('D5'!I$2:I$3,3)+COUNTIF('D6'!I$2:I$6,3)+COUNTIF('D7'!I$2:I$6,3)+COUNTIF('D8'!I$2:I$6,3)+COUNTIF('D9'!I$2:I$9,3)+COUNTIF('D10'!I$2:I$7,3)+COUNTIF('D11'!I$2:I$3,3)+COUNTIF('D12'!I$2:I$4,3)+COUNTIF('D13'!I$2:I$17,3))/$A$20</f>
        <v>3.4482758620689655E-2</v>
      </c>
    </row>
    <row r="106" spans="3:5" x14ac:dyDescent="0.25">
      <c r="C106" s="67" t="str">
        <f>$A$27</f>
        <v>2-REGULAR</v>
      </c>
      <c r="D106" s="141">
        <f>(COUNTIF('D3'!I$2:I$6,2)+COUNTIF('D4'!I$2:I$5,2)+COUNTIF('D5'!I$2:I$3,2)+COUNTIF('D6'!I$2:I$6,2)+COUNTIF('D7'!I$2:I$6,2)+COUNTIF('D8'!I$2:I$6,2)+COUNTIF('D9'!I$2:I$9,2)+COUNTIF('D10'!I$2:I$7,2)+COUNTIF('D11'!I$2:I$3,2)+COUNTIF('D12'!I$2:I$4,2)+COUNTIF('D13'!I$2:I$17,2))/$A$20</f>
        <v>1.7241379310344827E-2</v>
      </c>
    </row>
    <row r="107" spans="3:5" x14ac:dyDescent="0.25">
      <c r="C107" s="67" t="str">
        <f>$A$28</f>
        <v>1-RUIM</v>
      </c>
      <c r="D107" s="141">
        <f>(COUNTIF('D3'!I$2:I$6,1)+COUNTIF('D4'!I$2:I$5,1)+COUNTIF('D5'!I$2:I$3,1)+COUNTIF('D6'!I$2:I$6,1)+COUNTIF('D7'!I$2:I$6,1)+COUNTIF('D8'!I$2:I$6,1)+COUNTIF('D9'!I$2:I$9,1)+COUNTIF('D10'!I$2:I$7,1)+COUNTIF('D11'!I$2:I$3,1)+COUNTIF('D12'!I$2:I$4,1)+COUNTIF('D13'!I$2:I$17,1))/$A$20</f>
        <v>0</v>
      </c>
    </row>
    <row r="108" spans="3:5" x14ac:dyDescent="0.25">
      <c r="C108" s="68" t="str">
        <f>$A$29</f>
        <v>0-NÃO SE APLICA</v>
      </c>
      <c r="D108" s="141">
        <f>(COUNTIF('D3'!I$2:I$6,0)+COUNTIF('D4'!I$2:I$5,0)+COUNTIF('D5'!I$2:I$3,0)+COUNTIF('D6'!I$2:I$6,0)+COUNTIF('D7'!I$2:I$6,0)+COUNTIF('D8'!I$2:I$6,0)+COUNTIF('D9'!I$2:I$9,0)+COUNTIF('D10'!I$2:I$7,0)+COUNTIF('D11'!I$2:I$3,0)+COUNTIF('D12'!I$2:I$4,0)+COUNTIF('D13'!I$2:I$17,0))/$A$20</f>
        <v>3.4482758620689655E-2</v>
      </c>
    </row>
    <row r="109" spans="3:5" ht="15.6" x14ac:dyDescent="0.3">
      <c r="C109" s="12"/>
    </row>
    <row r="110" spans="3:5" ht="15.6" x14ac:dyDescent="0.3">
      <c r="C110" s="79"/>
      <c r="D110" s="113" t="str">
        <f>D101</f>
        <v>questão 7</v>
      </c>
    </row>
    <row r="111" spans="3:5" ht="15.6" x14ac:dyDescent="0.3">
      <c r="C111" s="121" t="str">
        <f>'Dashboard-1-AVALIAÇÃO INST.'!$A$29</f>
        <v>MUITO BOM / ÓTIMO</v>
      </c>
      <c r="D111" s="99">
        <f>D103+D104</f>
        <v>0.91379310344827591</v>
      </c>
    </row>
    <row r="112" spans="3:5" ht="15.6" x14ac:dyDescent="0.3">
      <c r="C112" s="122" t="str">
        <f>'Dashboard-1-AVALIAÇÃO INST.'!$A$30</f>
        <v>BOM</v>
      </c>
      <c r="D112" s="101">
        <f>D105</f>
        <v>3.4482758620689655E-2</v>
      </c>
    </row>
    <row r="113" spans="3:5" ht="15.6" x14ac:dyDescent="0.3">
      <c r="C113" s="122" t="str">
        <f>'Dashboard-1-AVALIAÇÃO INST.'!$A$31</f>
        <v>RUIM / REGULAR</v>
      </c>
      <c r="D113" s="101">
        <f>D106+D107</f>
        <v>1.7241379310344827E-2</v>
      </c>
    </row>
    <row r="114" spans="3:5" ht="15.6" x14ac:dyDescent="0.3">
      <c r="C114" s="123" t="str">
        <f>'Dashboard-1-AVALIAÇÃO INST.'!$A$32</f>
        <v>NÃO SE APLICA / NÃO SEI</v>
      </c>
      <c r="D114" s="103">
        <f>D108</f>
        <v>3.4482758620689655E-2</v>
      </c>
    </row>
    <row r="115" spans="3:5" x14ac:dyDescent="0.25">
      <c r="C115" s="105">
        <f>(SUM(D111:D114))</f>
        <v>1</v>
      </c>
      <c r="D115" s="106" t="str">
        <f>IF(C115=100%, "CORRETO","ERRO")</f>
        <v>CORRETO</v>
      </c>
    </row>
    <row r="121" spans="3:5" ht="15.6" x14ac:dyDescent="0.3">
      <c r="D121" s="42" t="str">
        <f>'D3'!J19</f>
        <v>questão 8</v>
      </c>
      <c r="E121" s="12" t="str">
        <f>'D3'!J1</f>
        <v>08- O Plano de Ensino da disciplina foi disponibilizado, explicado e cumprido pelo docente ?</v>
      </c>
    </row>
    <row r="123" spans="3:5" x14ac:dyDescent="0.25">
      <c r="C123" s="66" t="str">
        <f>$A$24</f>
        <v>5-ÓTIMO</v>
      </c>
      <c r="D123" s="141">
        <f>(COUNTIF('D3'!J$2:J$6,5)+COUNTIF('D4'!J$2:J$5,5)+COUNTIF('D5'!J$2:J$3,5)+COUNTIF('D6'!J$2:J$6,5)+COUNTIF('D7'!J$2:J$6,5)+COUNTIF('D8'!J$2:J$6,5)+COUNTIF('D9'!J$2:J$9,5)+COUNTIF('D10'!J$2:J$7,5)+COUNTIF('D11'!J$2:J$3,5)+COUNTIF('D12'!J$2:J$4,5)+COUNTIF('D13'!J$2:J$17,5))/$A$20</f>
        <v>0.81034482758620685</v>
      </c>
    </row>
    <row r="124" spans="3:5" x14ac:dyDescent="0.25">
      <c r="C124" s="67" t="str">
        <f>$A$25</f>
        <v>4-MUITO BOM</v>
      </c>
      <c r="D124" s="141">
        <f>(COUNTIF('D3'!J$2:J$6,4)+COUNTIF('D4'!J$2:J$5,4)+COUNTIF('D5'!J$2:J$3,4)+COUNTIF('D6'!J$2:J$6,4)+COUNTIF('D7'!J$2:J$6,4)+COUNTIF('D8'!J$2:J$6,4)+COUNTIF('D9'!J$2:J$9,4)+COUNTIF('D10'!J$2:J$7,4)+COUNTIF('D11'!J$2:J$3,4)+COUNTIF('D12'!J$2:J$4,4)+COUNTIF('D13'!J$2:J$17,4))/$A$20</f>
        <v>0.1206896551724138</v>
      </c>
    </row>
    <row r="125" spans="3:5" x14ac:dyDescent="0.25">
      <c r="C125" s="67" t="str">
        <f>$A$26</f>
        <v>3-BOM</v>
      </c>
      <c r="D125" s="141">
        <f>(COUNTIF('D3'!J$2:J$6,3)+COUNTIF('D4'!J$2:J$5,3)+COUNTIF('D5'!J$2:J$3,3)+COUNTIF('D6'!J$2:J$6,3)+COUNTIF('D7'!J$2:J$6,3)+COUNTIF('D8'!J$2:J$6,3)+COUNTIF('D9'!J$2:J$9,3)+COUNTIF('D10'!J$2:J$7,3)+COUNTIF('D11'!J$2:J$3,3)+COUNTIF('D12'!J$2:J$4,3)+COUNTIF('D13'!J$2:J$17,3))/$A$20</f>
        <v>5.1724137931034482E-2</v>
      </c>
    </row>
    <row r="126" spans="3:5" x14ac:dyDescent="0.25">
      <c r="C126" s="67" t="str">
        <f>$A$27</f>
        <v>2-REGULAR</v>
      </c>
      <c r="D126" s="141">
        <f>(COUNTIF('D3'!J$2:J$6,2)+COUNTIF('D4'!J$2:J$5,2)+COUNTIF('D5'!J$2:J$3,2)+COUNTIF('D6'!J$2:J$6,2)+COUNTIF('D7'!J$2:J$6,2)+COUNTIF('D8'!J$2:J$6,2)+COUNTIF('D9'!J$2:J$9,2)+COUNTIF('D10'!J$2:J$7,2)+COUNTIF('D11'!J$2:J$3,2)+COUNTIF('D12'!J$2:J$4,2)+COUNTIF('D13'!J$2:J$17,2))/$A$20</f>
        <v>0</v>
      </c>
    </row>
    <row r="127" spans="3:5" x14ac:dyDescent="0.25">
      <c r="C127" s="67" t="str">
        <f>$A$28</f>
        <v>1-RUIM</v>
      </c>
      <c r="D127" s="141">
        <f>(COUNTIF('D3'!J$2:J$6,1)+COUNTIF('D4'!J$2:J$5,1)+COUNTIF('D5'!J$2:J$3,1)+COUNTIF('D6'!J$2:J$6,1)+COUNTIF('D7'!J$2:J$6,1)+COUNTIF('D8'!J$2:J$6,1)+COUNTIF('D9'!J$2:J$9,1)+COUNTIF('D10'!J$2:J$7,1)+COUNTIF('D11'!J$2:J$3,1)+COUNTIF('D12'!J$2:J$4,1)+COUNTIF('D13'!J$2:J$17,1))/$A$20</f>
        <v>0</v>
      </c>
    </row>
    <row r="128" spans="3:5" x14ac:dyDescent="0.25">
      <c r="C128" s="68" t="str">
        <f>$A$29</f>
        <v>0-NÃO SE APLICA</v>
      </c>
      <c r="D128" s="141">
        <f>(COUNTIF('D3'!J$2:J$6,0)+COUNTIF('D4'!J$2:J$5,0)+COUNTIF('D5'!J$2:J$3,0)+COUNTIF('D6'!J$2:J$6,0)+COUNTIF('D7'!J$2:J$6,0)+COUNTIF('D8'!J$2:J$6,0)+COUNTIF('D9'!J$2:J$9,0)+COUNTIF('D10'!J$2:J$7,0)+COUNTIF('D11'!J$2:J$3,0)+COUNTIF('D12'!J$2:J$4,0)+COUNTIF('D13'!J$2:J$17,0))/$A$20</f>
        <v>1.7241379310344827E-2</v>
      </c>
    </row>
    <row r="129" spans="3:5" ht="15.6" x14ac:dyDescent="0.3">
      <c r="C129" s="12"/>
    </row>
    <row r="130" spans="3:5" ht="15.6" x14ac:dyDescent="0.3">
      <c r="C130" s="79"/>
      <c r="D130" s="113" t="str">
        <f>D121</f>
        <v>questão 8</v>
      </c>
    </row>
    <row r="131" spans="3:5" ht="15.6" x14ac:dyDescent="0.3">
      <c r="C131" s="121" t="str">
        <f>'Dashboard-1-AVALIAÇÃO INST.'!$A$29</f>
        <v>MUITO BOM / ÓTIMO</v>
      </c>
      <c r="D131" s="99">
        <f>D123+D124</f>
        <v>0.93103448275862066</v>
      </c>
    </row>
    <row r="132" spans="3:5" ht="15.6" x14ac:dyDescent="0.3">
      <c r="C132" s="122" t="str">
        <f>'Dashboard-1-AVALIAÇÃO INST.'!$A$30</f>
        <v>BOM</v>
      </c>
      <c r="D132" s="101">
        <f>D125</f>
        <v>5.1724137931034482E-2</v>
      </c>
    </row>
    <row r="133" spans="3:5" ht="15.6" x14ac:dyDescent="0.3">
      <c r="C133" s="122" t="str">
        <f>'Dashboard-1-AVALIAÇÃO INST.'!$A$31</f>
        <v>RUIM / REGULAR</v>
      </c>
      <c r="D133" s="101">
        <f>D126+D127</f>
        <v>0</v>
      </c>
    </row>
    <row r="134" spans="3:5" ht="15.6" x14ac:dyDescent="0.3">
      <c r="C134" s="123" t="str">
        <f>'Dashboard-1-AVALIAÇÃO INST.'!$A$32</f>
        <v>NÃO SE APLICA / NÃO SEI</v>
      </c>
      <c r="D134" s="103">
        <f>D128</f>
        <v>1.7241379310344827E-2</v>
      </c>
    </row>
    <row r="135" spans="3:5" x14ac:dyDescent="0.25">
      <c r="C135" s="105">
        <f>(SUM(D131:D134))</f>
        <v>1</v>
      </c>
      <c r="D135" s="106" t="str">
        <f>IF(C135=100%, "CORRETO","ERRO")</f>
        <v>CORRETO</v>
      </c>
    </row>
    <row r="140" spans="3:5" ht="15.6" x14ac:dyDescent="0.3">
      <c r="D140" s="42" t="str">
        <f>'D3'!K19</f>
        <v>questão 9</v>
      </c>
      <c r="E140" s="12" t="str">
        <f>'D3'!K1</f>
        <v>09- Os objetivos propostos da disciplina foram coerentes com os conteúdos desenvolvidos nas aulas ?</v>
      </c>
    </row>
    <row r="142" spans="3:5" x14ac:dyDescent="0.25">
      <c r="C142" s="66" t="str">
        <f>$A$24</f>
        <v>5-ÓTIMO</v>
      </c>
      <c r="D142" s="141">
        <f>(COUNTIF('D3'!K$2:K$6,5)+COUNTIF('D4'!K$2:K$5,5)+COUNTIF('D5'!K$2:K$3,5)+COUNTIF('D6'!K$2:K$6,5)+COUNTIF('D7'!K$2:K$6,5)+COUNTIF('D8'!K$2:K$6,5)+COUNTIF('D9'!K$2:K$9,5)+COUNTIF('D10'!K$2:K$7,5)+COUNTIF('D11'!K$2:K$3,5)+COUNTIF('D12'!K$2:K$4,5)+COUNTIF('D13'!K$2:K$17,5))/$A$20</f>
        <v>0.74137931034482762</v>
      </c>
    </row>
    <row r="143" spans="3:5" x14ac:dyDescent="0.25">
      <c r="C143" s="67" t="str">
        <f>$A$25</f>
        <v>4-MUITO BOM</v>
      </c>
      <c r="D143" s="141">
        <f>(COUNTIF('D3'!K$2:K$6,4)+COUNTIF('D4'!K$2:K$5,4)+COUNTIF('D5'!K$2:K$3,4)+COUNTIF('D6'!K$2:K$6,4)+COUNTIF('D7'!K$2:K$6,4)+COUNTIF('D8'!K$2:K$6,4)+COUNTIF('D9'!K$2:K$9,4)+COUNTIF('D10'!K$2:K$7,4)+COUNTIF('D11'!K$2:K$3,4)+COUNTIF('D12'!K$2:K$4,4)+COUNTIF('D13'!K$2:K$17,4))/$A$20</f>
        <v>0.17241379310344829</v>
      </c>
    </row>
    <row r="144" spans="3:5" x14ac:dyDescent="0.25">
      <c r="C144" s="67" t="str">
        <f>$A$26</f>
        <v>3-BOM</v>
      </c>
      <c r="D144" s="141">
        <f>(COUNTIF('D3'!K$2:K$6,3)+COUNTIF('D4'!K$2:K$5,3)+COUNTIF('D5'!K$2:K$3,3)+COUNTIF('D6'!K$2:K$6,3)+COUNTIF('D7'!K$2:K$6,3)+COUNTIF('D8'!K$2:K$6,3)+COUNTIF('D9'!K$2:K$9,3)+COUNTIF('D10'!K$2:K$7,3)+COUNTIF('D11'!K$2:K$3,3)+COUNTIF('D12'!K$2:K$4,3)+COUNTIF('D13'!K$2:K$17,3))/$A$20</f>
        <v>5.1724137931034482E-2</v>
      </c>
    </row>
    <row r="145" spans="3:5" x14ac:dyDescent="0.25">
      <c r="C145" s="67" t="str">
        <f>$A$27</f>
        <v>2-REGULAR</v>
      </c>
      <c r="D145" s="141">
        <f>(COUNTIF('D3'!K$2:K$6,2)+COUNTIF('D4'!K$2:K$5,2)+COUNTIF('D5'!K$2:K$3,2)+COUNTIF('D6'!K$2:K$6,2)+COUNTIF('D7'!K$2:K$6,2)+COUNTIF('D8'!K$2:K$6,2)+COUNTIF('D9'!K$2:K$9,2)+COUNTIF('D10'!K$2:K$7,2)+COUNTIF('D11'!K$2:K$3,2)+COUNTIF('D12'!K$2:K$4,2)+COUNTIF('D13'!K$2:K$17,2))/$A$20</f>
        <v>0</v>
      </c>
    </row>
    <row r="146" spans="3:5" x14ac:dyDescent="0.25">
      <c r="C146" s="67" t="str">
        <f>$A$28</f>
        <v>1-RUIM</v>
      </c>
      <c r="D146" s="141">
        <f>(COUNTIF('D3'!K$2:K$6,1)+COUNTIF('D4'!K$2:K$5,1)+COUNTIF('D5'!K$2:K$3,1)+COUNTIF('D6'!K$2:K$6,1)+COUNTIF('D7'!K$2:K$6,1)+COUNTIF('D8'!K$2:K$6,1)+COUNTIF('D9'!K$2:K$9,1)+COUNTIF('D10'!K$2:K$7,1)+COUNTIF('D11'!K$2:K$3,1)+COUNTIF('D12'!K$2:K$4,1)+COUNTIF('D13'!K$2:K$17,1))/$A$20</f>
        <v>1.7241379310344827E-2</v>
      </c>
    </row>
    <row r="147" spans="3:5" x14ac:dyDescent="0.25">
      <c r="C147" s="68" t="str">
        <f>$A$29</f>
        <v>0-NÃO SE APLICA</v>
      </c>
      <c r="D147" s="141">
        <f>(COUNTIF('D3'!K$2:K$6,0)+COUNTIF('D4'!K$2:K$5,0)+COUNTIF('D5'!K$2:K$3,0)+COUNTIF('D6'!K$2:K$6,0)+COUNTIF('D7'!K$2:K$6,0)+COUNTIF('D8'!K$2:K$6,0)+COUNTIF('D9'!K$2:K$9,0)+COUNTIF('D10'!K$2:K$7,0)+COUNTIF('D11'!K$2:K$3,0)+COUNTIF('D12'!K$2:K$4,0)+COUNTIF('D13'!K$2:K$17,0))/$A$20</f>
        <v>1.7241379310344827E-2</v>
      </c>
    </row>
    <row r="148" spans="3:5" ht="15.6" x14ac:dyDescent="0.3">
      <c r="C148" s="12"/>
    </row>
    <row r="149" spans="3:5" ht="15.6" x14ac:dyDescent="0.3">
      <c r="C149" s="79"/>
      <c r="D149" s="113" t="str">
        <f>D140</f>
        <v>questão 9</v>
      </c>
    </row>
    <row r="150" spans="3:5" ht="15.6" x14ac:dyDescent="0.3">
      <c r="C150" s="121" t="str">
        <f>'Dashboard-1-AVALIAÇÃO INST.'!$A$29</f>
        <v>MUITO BOM / ÓTIMO</v>
      </c>
      <c r="D150" s="99">
        <f>D142+D143</f>
        <v>0.91379310344827591</v>
      </c>
    </row>
    <row r="151" spans="3:5" ht="15.6" x14ac:dyDescent="0.3">
      <c r="C151" s="122" t="str">
        <f>'Dashboard-1-AVALIAÇÃO INST.'!$A$30</f>
        <v>BOM</v>
      </c>
      <c r="D151" s="101">
        <f>D144</f>
        <v>5.1724137931034482E-2</v>
      </c>
    </row>
    <row r="152" spans="3:5" ht="15.6" x14ac:dyDescent="0.3">
      <c r="C152" s="122" t="str">
        <f>'Dashboard-1-AVALIAÇÃO INST.'!$A$31</f>
        <v>RUIM / REGULAR</v>
      </c>
      <c r="D152" s="101">
        <f>D145+D146</f>
        <v>1.7241379310344827E-2</v>
      </c>
    </row>
    <row r="153" spans="3:5" ht="15.6" x14ac:dyDescent="0.3">
      <c r="C153" s="123" t="str">
        <f>'Dashboard-1-AVALIAÇÃO INST.'!$A$32</f>
        <v>NÃO SE APLICA / NÃO SEI</v>
      </c>
      <c r="D153" s="103">
        <f>D147</f>
        <v>1.7241379310344827E-2</v>
      </c>
    </row>
    <row r="154" spans="3:5" x14ac:dyDescent="0.25">
      <c r="C154" s="105">
        <f>(SUM(D150:D153))</f>
        <v>1</v>
      </c>
      <c r="D154" s="106" t="str">
        <f>IF(C154=100%, "CORRETO","ERRO")</f>
        <v>CORRETO</v>
      </c>
    </row>
    <row r="159" spans="3:5" ht="15.6" x14ac:dyDescent="0.3">
      <c r="D159" s="42" t="str">
        <f>'D3'!L19</f>
        <v>questão 10</v>
      </c>
      <c r="E159" s="12" t="str">
        <f>'D3'!L1</f>
        <v>10- O docente dominou os conteúdos ministrados ?</v>
      </c>
    </row>
    <row r="161" spans="3:4" x14ac:dyDescent="0.25">
      <c r="C161" s="66" t="str">
        <f>$A$24</f>
        <v>5-ÓTIMO</v>
      </c>
      <c r="D161" s="141">
        <f>(COUNTIF('D3'!L$2:L$6,5)+COUNTIF('D4'!L$2:L$5,5)+COUNTIF('D5'!L$2:L$3,5)+COUNTIF('D6'!L$2:L$6,5)+COUNTIF('D7'!L$2:L$6,5)+COUNTIF('D8'!L$2:L$6,5)+COUNTIF('D9'!L$2:L$9,5)+COUNTIF('D10'!L$2:L$7,5)+COUNTIF('D11'!L$2:L$3,5)+COUNTIF('D12'!L$2:L$4,5)+COUNTIF('D13'!L$2:L$17,5))/$A$20</f>
        <v>0.86206896551724133</v>
      </c>
    </row>
    <row r="162" spans="3:4" x14ac:dyDescent="0.25">
      <c r="C162" s="67" t="str">
        <f>$A$25</f>
        <v>4-MUITO BOM</v>
      </c>
      <c r="D162" s="141">
        <f>(COUNTIF('D3'!L$2:L$6,4)+COUNTIF('D4'!L$2:L$5,4)+COUNTIF('D5'!L$2:L$3,4)+COUNTIF('D6'!L$2:L$6,4)+COUNTIF('D7'!L$2:L$6,4)+COUNTIF('D8'!L$2:L$6,4)+COUNTIF('D9'!L$2:L$9,4)+COUNTIF('D10'!L$2:L$7,4)+COUNTIF('D11'!L$2:L$3,4)+COUNTIF('D12'!L$2:L$4,4)+COUNTIF('D13'!L$2:L$17,4))/$A$20</f>
        <v>0.10344827586206896</v>
      </c>
    </row>
    <row r="163" spans="3:4" x14ac:dyDescent="0.25">
      <c r="C163" s="67" t="str">
        <f>$A$26</f>
        <v>3-BOM</v>
      </c>
      <c r="D163" s="141">
        <f>(COUNTIF('D3'!L$2:L$6,3)+COUNTIF('D4'!L$2:L$5,3)+COUNTIF('D5'!L$2:L$3,3)+COUNTIF('D6'!L$2:L$6,3)+COUNTIF('D7'!L$2:L$6,3)+COUNTIF('D8'!L$2:L$6,3)+COUNTIF('D9'!L$2:L$9,3)+COUNTIF('D10'!L$2:L$7,3)+COUNTIF('D11'!L$2:L$3,3)+COUNTIF('D12'!L$2:L$4,3)+COUNTIF('D13'!L$2:L$17,3))/$A$20</f>
        <v>1.7241379310344827E-2</v>
      </c>
    </row>
    <row r="164" spans="3:4" x14ac:dyDescent="0.25">
      <c r="C164" s="67" t="str">
        <f>$A$27</f>
        <v>2-REGULAR</v>
      </c>
      <c r="D164" s="141">
        <f>(COUNTIF('D3'!L$2:L$6,2)+COUNTIF('D4'!L$2:L$5,2)+COUNTIF('D5'!L$2:L$3,2)+COUNTIF('D6'!L$2:L$6,2)+COUNTIF('D7'!L$2:L$6,2)+COUNTIF('D8'!L$2:L$6,2)+COUNTIF('D9'!L$2:L$9,2)+COUNTIF('D10'!L$2:L$7,2)+COUNTIF('D11'!L$2:L$3,2)+COUNTIF('D12'!L$2:L$4,2)+COUNTIF('D13'!L$2:L$17,2))/$A$20</f>
        <v>0</v>
      </c>
    </row>
    <row r="165" spans="3:4" x14ac:dyDescent="0.25">
      <c r="C165" s="67" t="str">
        <f>$A$28</f>
        <v>1-RUIM</v>
      </c>
      <c r="D165" s="141">
        <f>(COUNTIF('D3'!L$2:L$6,1)+COUNTIF('D4'!L$2:L$5,1)+COUNTIF('D5'!L$2:L$3,1)+COUNTIF('D6'!L$2:L$6,1)+COUNTIF('D7'!L$2:L$6,1)+COUNTIF('D8'!L$2:L$6,1)+COUNTIF('D9'!L$2:L$9,1)+COUNTIF('D10'!L$2:L$7,1)+COUNTIF('D11'!L$2:L$3,1)+COUNTIF('D12'!L$2:L$4,1)+COUNTIF('D13'!L$2:L$17,1))/$A$20</f>
        <v>0</v>
      </c>
    </row>
    <row r="166" spans="3:4" x14ac:dyDescent="0.25">
      <c r="C166" s="68" t="str">
        <f>$A$29</f>
        <v>0-NÃO SE APLICA</v>
      </c>
      <c r="D166" s="141">
        <f>(COUNTIF('D3'!L$2:L$6,0)+COUNTIF('D4'!L$2:L$5,0)+COUNTIF('D5'!L$2:L$3,0)+COUNTIF('D6'!L$2:L$6,0)+COUNTIF('D7'!L$2:L$6,0)+COUNTIF('D8'!L$2:L$6,0)+COUNTIF('D9'!L$2:L$9,0)+COUNTIF('D10'!L$2:L$7,0)+COUNTIF('D11'!L$2:L$3,0)+COUNTIF('D12'!L$2:L$4,0)+COUNTIF('D13'!L$2:L$17,0))/$A$20</f>
        <v>1.7241379310344827E-2</v>
      </c>
    </row>
    <row r="167" spans="3:4" ht="15.6" x14ac:dyDescent="0.3">
      <c r="C167" s="12"/>
    </row>
    <row r="168" spans="3:4" ht="15.6" x14ac:dyDescent="0.3">
      <c r="C168" s="79"/>
      <c r="D168" s="113" t="str">
        <f>D159</f>
        <v>questão 10</v>
      </c>
    </row>
    <row r="169" spans="3:4" ht="15.6" x14ac:dyDescent="0.3">
      <c r="C169" s="121" t="str">
        <f>'Dashboard-1-AVALIAÇÃO INST.'!$A$29</f>
        <v>MUITO BOM / ÓTIMO</v>
      </c>
      <c r="D169" s="99">
        <f>D161+D162</f>
        <v>0.96551724137931028</v>
      </c>
    </row>
    <row r="170" spans="3:4" ht="15.6" x14ac:dyDescent="0.3">
      <c r="C170" s="122" t="str">
        <f>'Dashboard-1-AVALIAÇÃO INST.'!$A$30</f>
        <v>BOM</v>
      </c>
      <c r="D170" s="101">
        <f>D163</f>
        <v>1.7241379310344827E-2</v>
      </c>
    </row>
    <row r="171" spans="3:4" ht="15.6" x14ac:dyDescent="0.3">
      <c r="C171" s="122" t="str">
        <f>'Dashboard-1-AVALIAÇÃO INST.'!$A$31</f>
        <v>RUIM / REGULAR</v>
      </c>
      <c r="D171" s="101">
        <f>D164+D165</f>
        <v>0</v>
      </c>
    </row>
    <row r="172" spans="3:4" ht="15.6" x14ac:dyDescent="0.3">
      <c r="C172" s="123" t="str">
        <f>'Dashboard-1-AVALIAÇÃO INST.'!$A$32</f>
        <v>NÃO SE APLICA / NÃO SEI</v>
      </c>
      <c r="D172" s="103">
        <f>D166</f>
        <v>1.7241379310344827E-2</v>
      </c>
    </row>
    <row r="173" spans="3:4" x14ac:dyDescent="0.25">
      <c r="C173" s="105">
        <f>(SUM(D169:D172))</f>
        <v>1</v>
      </c>
      <c r="D173" s="106" t="str">
        <f>IF(C173=100%, "CORRETO","ERRO")</f>
        <v>CORRETO</v>
      </c>
    </row>
    <row r="178" spans="3:5" ht="15.6" x14ac:dyDescent="0.3">
      <c r="D178" s="42" t="str">
        <f>'D3'!$M$19</f>
        <v>questão 11</v>
      </c>
      <c r="E178" s="12" t="str">
        <f>'D3'!$M$1</f>
        <v>11- Os conteúdos ministrados foram apresentados com clareza e coerência ?</v>
      </c>
    </row>
    <row r="180" spans="3:5" x14ac:dyDescent="0.25">
      <c r="C180" s="66" t="str">
        <f>$A$24</f>
        <v>5-ÓTIMO</v>
      </c>
      <c r="D180" s="141">
        <f>(COUNTIF('D3'!M$2:M$6,5)+COUNTIF('D4'!M$2:M$5,5)+COUNTIF('D5'!M$2:M$3,5)+COUNTIF('D6'!M$2:M$6,5)+COUNTIF('D7'!M$2:M$6,5)+COUNTIF('D8'!M$2:M$6,5)+COUNTIF('D9'!M$2:M$9,5)+COUNTIF('D10'!M$2:M$7,5)+COUNTIF('D11'!M$2:M$3,5)+COUNTIF('D12'!M$2:M$4,5)+COUNTIF('D13'!M$2:M$17,5))/$A$20</f>
        <v>0.7931034482758621</v>
      </c>
    </row>
    <row r="181" spans="3:5" x14ac:dyDescent="0.25">
      <c r="C181" s="67" t="str">
        <f>$A$25</f>
        <v>4-MUITO BOM</v>
      </c>
      <c r="D181" s="141">
        <f>(COUNTIF('D3'!M$2:M$6,4)+COUNTIF('D4'!M$2:M$5,4)+COUNTIF('D5'!M$2:M$3,4)+COUNTIF('D6'!M$2:M$6,4)+COUNTIF('D7'!M$2:M$6,4)+COUNTIF('D8'!M$2:M$6,4)+COUNTIF('D9'!M$2:M$9,4)+COUNTIF('D10'!M$2:M$7,4)+COUNTIF('D11'!M$2:M$3,4)+COUNTIF('D12'!M$2:M$4,4)+COUNTIF('D13'!M$2:M$17,4))/$A$20</f>
        <v>8.6206896551724144E-2</v>
      </c>
    </row>
    <row r="182" spans="3:5" x14ac:dyDescent="0.25">
      <c r="C182" s="67" t="str">
        <f>$A$26</f>
        <v>3-BOM</v>
      </c>
      <c r="D182" s="141">
        <f>(COUNTIF('D3'!M$2:M$6,3)+COUNTIF('D4'!M$2:M$5,3)+COUNTIF('D5'!M$2:M$3,3)+COUNTIF('D6'!M$2:M$6,3)+COUNTIF('D7'!M$2:M$6,3)+COUNTIF('D8'!M$2:M$6,3)+COUNTIF('D9'!M$2:M$9,3)+COUNTIF('D10'!M$2:M$7,3)+COUNTIF('D11'!M$2:M$3,3)+COUNTIF('D12'!M$2:M$4,3)+COUNTIF('D13'!M$2:M$17,3))/$A$20</f>
        <v>5.1724137931034482E-2</v>
      </c>
    </row>
    <row r="183" spans="3:5" x14ac:dyDescent="0.25">
      <c r="C183" s="67" t="str">
        <f>$A$27</f>
        <v>2-REGULAR</v>
      </c>
      <c r="D183" s="141">
        <f>(COUNTIF('D3'!M$2:M$6,2)+COUNTIF('D4'!M$2:M$5,2)+COUNTIF('D5'!M$2:M$3,2)+COUNTIF('D6'!M$2:M$6,2)+COUNTIF('D7'!M$2:M$6,2)+COUNTIF('D8'!M$2:M$6,2)+COUNTIF('D9'!M$2:M$9,2)+COUNTIF('D10'!M$2:M$7,2)+COUNTIF('D11'!M$2:M$3,2)+COUNTIF('D12'!M$2:M$4,2)+COUNTIF('D13'!M$2:M$17,2))/$A$20</f>
        <v>5.1724137931034482E-2</v>
      </c>
    </row>
    <row r="184" spans="3:5" x14ac:dyDescent="0.25">
      <c r="C184" s="67" t="str">
        <f>$A$28</f>
        <v>1-RUIM</v>
      </c>
      <c r="D184" s="141">
        <f>(COUNTIF('D3'!M$2:M$6,1)+COUNTIF('D4'!M$2:M$5,1)+COUNTIF('D5'!M$2:M$3,1)+COUNTIF('D6'!M$2:M$6,1)+COUNTIF('D7'!M$2:M$6,1)+COUNTIF('D8'!M$2:M$6,1)+COUNTIF('D9'!M$2:M$9,1)+COUNTIF('D10'!M$2:M$7,1)+COUNTIF('D11'!M$2:M$3,1)+COUNTIF('D12'!M$2:M$4,1)+COUNTIF('D13'!M$2:M$17,1))/$A$20</f>
        <v>0</v>
      </c>
    </row>
    <row r="185" spans="3:5" x14ac:dyDescent="0.25">
      <c r="C185" s="68" t="str">
        <f>$A$29</f>
        <v>0-NÃO SE APLICA</v>
      </c>
      <c r="D185" s="141">
        <f>(COUNTIF('D3'!M$2:M$6,0)+COUNTIF('D4'!M$2:M$5,0)+COUNTIF('D5'!M$2:M$3,0)+COUNTIF('D6'!M$2:M$6,0)+COUNTIF('D7'!M$2:M$6,0)+COUNTIF('D8'!M$2:M$6,0)+COUNTIF('D9'!M$2:M$9,0)+COUNTIF('D10'!M$2:M$7,0)+COUNTIF('D11'!M$2:M$3,0)+COUNTIF('D12'!M$2:M$4,0)+COUNTIF('D13'!M$2:M$17,0))/$A$20</f>
        <v>1.7241379310344827E-2</v>
      </c>
    </row>
    <row r="186" spans="3:5" ht="15.6" x14ac:dyDescent="0.3">
      <c r="C186" s="12"/>
    </row>
    <row r="187" spans="3:5" ht="15.6" x14ac:dyDescent="0.3">
      <c r="C187" s="79"/>
      <c r="D187" s="113" t="str">
        <f>D178</f>
        <v>questão 11</v>
      </c>
    </row>
    <row r="188" spans="3:5" ht="15.6" x14ac:dyDescent="0.3">
      <c r="C188" s="121" t="str">
        <f>'Dashboard-1-AVALIAÇÃO INST.'!$A$29</f>
        <v>MUITO BOM / ÓTIMO</v>
      </c>
      <c r="D188" s="99">
        <f>D180+D181</f>
        <v>0.8793103448275863</v>
      </c>
    </row>
    <row r="189" spans="3:5" ht="15.6" x14ac:dyDescent="0.3">
      <c r="C189" s="122" t="str">
        <f>'Dashboard-1-AVALIAÇÃO INST.'!$A$30</f>
        <v>BOM</v>
      </c>
      <c r="D189" s="101">
        <f>D182</f>
        <v>5.1724137931034482E-2</v>
      </c>
    </row>
    <row r="190" spans="3:5" ht="15.6" x14ac:dyDescent="0.3">
      <c r="C190" s="122" t="str">
        <f>'Dashboard-1-AVALIAÇÃO INST.'!$A$31</f>
        <v>RUIM / REGULAR</v>
      </c>
      <c r="D190" s="101">
        <f>D183+D184</f>
        <v>5.1724137931034482E-2</v>
      </c>
    </row>
    <row r="191" spans="3:5" ht="15.6" x14ac:dyDescent="0.3">
      <c r="C191" s="123" t="str">
        <f>'Dashboard-1-AVALIAÇÃO INST.'!$A$32</f>
        <v>NÃO SE APLICA / NÃO SEI</v>
      </c>
      <c r="D191" s="103">
        <f>D185</f>
        <v>1.7241379310344827E-2</v>
      </c>
    </row>
    <row r="192" spans="3:5" x14ac:dyDescent="0.25">
      <c r="C192" s="105">
        <f>(SUM(D188:D191))</f>
        <v>1</v>
      </c>
      <c r="D192" s="106" t="str">
        <f>IF(C192=100%, "CORRETO","ERRO")</f>
        <v>CORRETO</v>
      </c>
    </row>
    <row r="197" spans="3:5" ht="15.6" x14ac:dyDescent="0.3">
      <c r="D197" s="42" t="str">
        <f>'D3'!$N$19</f>
        <v>questão 12</v>
      </c>
      <c r="E197" s="12" t="str">
        <f>'D3'!$N$1</f>
        <v>12- O docente demonstrou civilidade e respeito em relação aos estudantes ?</v>
      </c>
    </row>
    <row r="199" spans="3:5" x14ac:dyDescent="0.25">
      <c r="C199" s="66" t="str">
        <f>$A$24</f>
        <v>5-ÓTIMO</v>
      </c>
      <c r="D199" s="141">
        <f>(COUNTIF('D3'!N$2:N$6,5)+COUNTIF('D4'!N$2:N$5,5)+COUNTIF('D5'!N$2:N$3,5)+COUNTIF('D6'!N$2:N$6,5)+COUNTIF('D7'!N$2:N$6,5)+COUNTIF('D8'!N$2:N$6,5)+COUNTIF('D9'!N$2:N$9,5)+COUNTIF('D10'!N$2:N$7,5)+COUNTIF('D11'!N$2:N$3,5)+COUNTIF('D12'!N$2:N$4,5)+COUNTIF('D13'!N$2:N$17,5))/$A$20</f>
        <v>0.94827586206896552</v>
      </c>
    </row>
    <row r="200" spans="3:5" x14ac:dyDescent="0.25">
      <c r="C200" s="67" t="str">
        <f>$A$25</f>
        <v>4-MUITO BOM</v>
      </c>
      <c r="D200" s="141">
        <f>(COUNTIF('D3'!N$2:N$6,4)+COUNTIF('D4'!N$2:N$5,4)+COUNTIF('D5'!N$2:N$3,4)+COUNTIF('D6'!N$2:N$6,4)+COUNTIF('D7'!N$2:N$6,4)+COUNTIF('D8'!N$2:N$6,4)+COUNTIF('D9'!N$2:N$9,4)+COUNTIF('D10'!N$2:N$7,4)+COUNTIF('D11'!N$2:N$3,4)+COUNTIF('D12'!N$2:N$4,4)+COUNTIF('D13'!N$2:N$17,4))/$A$20</f>
        <v>3.4482758620689655E-2</v>
      </c>
    </row>
    <row r="201" spans="3:5" x14ac:dyDescent="0.25">
      <c r="C201" s="67" t="str">
        <f>$A$26</f>
        <v>3-BOM</v>
      </c>
      <c r="D201" s="141">
        <f>(COUNTIF('D3'!N$2:N$6,3)+COUNTIF('D4'!N$2:N$5,3)+COUNTIF('D5'!N$2:N$3,3)+COUNTIF('D6'!N$2:N$6,3)+COUNTIF('D7'!N$2:N$6,3)+COUNTIF('D8'!N$2:N$6,3)+COUNTIF('D9'!N$2:N$9,3)+COUNTIF('D10'!N$2:N$7,3)+COUNTIF('D11'!N$2:N$3,3)+COUNTIF('D12'!N$2:N$4,3)+COUNTIF('D13'!N$2:N$17,3))/$A$20</f>
        <v>0</v>
      </c>
    </row>
    <row r="202" spans="3:5" x14ac:dyDescent="0.25">
      <c r="C202" s="67" t="str">
        <f>$A$27</f>
        <v>2-REGULAR</v>
      </c>
      <c r="D202" s="141">
        <f>(COUNTIF('D3'!N$2:N$6,2)+COUNTIF('D4'!N$2:N$5,2)+COUNTIF('D5'!N$2:N$3,2)+COUNTIF('D6'!N$2:N$6,2)+COUNTIF('D7'!N$2:N$6,2)+COUNTIF('D8'!N$2:N$6,2)+COUNTIF('D9'!N$2:N$9,2)+COUNTIF('D10'!N$2:N$7,2)+COUNTIF('D11'!N$2:N$3,2)+COUNTIF('D12'!N$2:N$4,2)+COUNTIF('D13'!N$2:N$17,2))/$A$20</f>
        <v>0</v>
      </c>
    </row>
    <row r="203" spans="3:5" x14ac:dyDescent="0.25">
      <c r="C203" s="67" t="str">
        <f>$A$28</f>
        <v>1-RUIM</v>
      </c>
      <c r="D203" s="141">
        <f>(COUNTIF('D3'!N$2:N$6,1)+COUNTIF('D4'!N$2:N$5,1)+COUNTIF('D5'!N$2:N$3,1)+COUNTIF('D6'!N$2:N$6,1)+COUNTIF('D7'!N$2:N$6,1)+COUNTIF('D8'!N$2:N$6,1)+COUNTIF('D9'!N$2:N$9,1)+COUNTIF('D10'!N$2:N$7,1)+COUNTIF('D11'!N$2:N$3,1)+COUNTIF('D12'!N$2:N$4,1)+COUNTIF('D13'!N$2:N$17,1))/$A$20</f>
        <v>0</v>
      </c>
    </row>
    <row r="204" spans="3:5" x14ac:dyDescent="0.25">
      <c r="C204" s="68" t="str">
        <f>$A$29</f>
        <v>0-NÃO SE APLICA</v>
      </c>
      <c r="D204" s="141">
        <f>(COUNTIF('D3'!N$2:N$6,0)+COUNTIF('D4'!N$2:N$5,0)+COUNTIF('D5'!N$2:N$3,0)+COUNTIF('D6'!N$2:N$6,0)+COUNTIF('D7'!N$2:N$6,0)+COUNTIF('D8'!N$2:N$6,0)+COUNTIF('D9'!N$2:N$9,0)+COUNTIF('D10'!N$2:N$7,0)+COUNTIF('D11'!N$2:N$3,0)+COUNTIF('D12'!N$2:N$4,0)+COUNTIF('D13'!N$2:N$17,0))/$A$20</f>
        <v>1.7241379310344827E-2</v>
      </c>
    </row>
    <row r="205" spans="3:5" ht="15.6" x14ac:dyDescent="0.3">
      <c r="C205" s="12"/>
    </row>
    <row r="206" spans="3:5" ht="15.6" x14ac:dyDescent="0.3">
      <c r="C206" s="79"/>
      <c r="D206" s="113" t="str">
        <f>D197</f>
        <v>questão 12</v>
      </c>
    </row>
    <row r="207" spans="3:5" ht="15.6" x14ac:dyDescent="0.3">
      <c r="C207" s="121" t="str">
        <f>'Dashboard-1-AVALIAÇÃO INST.'!$A$29</f>
        <v>MUITO BOM / ÓTIMO</v>
      </c>
      <c r="D207" s="99">
        <f>D199+D200</f>
        <v>0.98275862068965514</v>
      </c>
    </row>
    <row r="208" spans="3:5" ht="15.6" x14ac:dyDescent="0.3">
      <c r="C208" s="122" t="str">
        <f>'Dashboard-1-AVALIAÇÃO INST.'!$A$30</f>
        <v>BOM</v>
      </c>
      <c r="D208" s="101">
        <f>D201</f>
        <v>0</v>
      </c>
    </row>
    <row r="209" spans="3:5" ht="15.6" x14ac:dyDescent="0.3">
      <c r="C209" s="122" t="str">
        <f>'Dashboard-1-AVALIAÇÃO INST.'!$A$31</f>
        <v>RUIM / REGULAR</v>
      </c>
      <c r="D209" s="101">
        <f>D202+D203</f>
        <v>0</v>
      </c>
    </row>
    <row r="210" spans="3:5" ht="15.6" x14ac:dyDescent="0.3">
      <c r="C210" s="123" t="str">
        <f>'Dashboard-1-AVALIAÇÃO INST.'!$A$32</f>
        <v>NÃO SE APLICA / NÃO SEI</v>
      </c>
      <c r="D210" s="103">
        <f>D204</f>
        <v>1.7241379310344827E-2</v>
      </c>
    </row>
    <row r="211" spans="3:5" x14ac:dyDescent="0.25">
      <c r="C211" s="105">
        <f>(SUM(D207:D210))</f>
        <v>1</v>
      </c>
      <c r="D211" s="106" t="str">
        <f>IF(C211=100%, "CORRETO","ERRO")</f>
        <v>CORRETO</v>
      </c>
    </row>
    <row r="216" spans="3:5" ht="15.6" x14ac:dyDescent="0.3">
      <c r="D216" s="42" t="str">
        <f>'D3'!$O$19</f>
        <v>questão 13</v>
      </c>
      <c r="E216" s="12" t="str">
        <f>'D3'!$O$1</f>
        <v>13- O docente incentivou à participação e ao interesse dos discentes pelos conteúdos ministrados ?</v>
      </c>
    </row>
    <row r="218" spans="3:5" x14ac:dyDescent="0.25">
      <c r="C218" s="66" t="str">
        <f>$A$24</f>
        <v>5-ÓTIMO</v>
      </c>
      <c r="D218" s="141">
        <f>(COUNTIF('D3'!O$2:O$6,5)+COUNTIF('D4'!O$2:O$5,5)+COUNTIF('D5'!O$2:O$3,5)+COUNTIF('D6'!O$2:O$6,5)+COUNTIF('D7'!O$2:O$6,5)+COUNTIF('D8'!O$2:O$6,5)+COUNTIF('D9'!O$2:O$9,5)+COUNTIF('D10'!O$2:O$7,5)+COUNTIF('D11'!O$2:O$3,5)+COUNTIF('D12'!O$2:O$4,5)+COUNTIF('D13'!O$2:O$17,5))/$A$20</f>
        <v>0.7931034482758621</v>
      </c>
    </row>
    <row r="219" spans="3:5" x14ac:dyDescent="0.25">
      <c r="C219" s="67" t="str">
        <f>$A$25</f>
        <v>4-MUITO BOM</v>
      </c>
      <c r="D219" s="141">
        <f>(COUNTIF('D3'!O$2:O$6,4)+COUNTIF('D4'!O$2:O$5,4)+COUNTIF('D5'!O$2:O$3,4)+COUNTIF('D6'!O$2:O$6,4)+COUNTIF('D7'!O$2:O$6,4)+COUNTIF('D8'!O$2:O$6,4)+COUNTIF('D9'!O$2:O$9,4)+COUNTIF('D10'!O$2:O$7,4)+COUNTIF('D11'!O$2:O$3,4)+COUNTIF('D12'!O$2:O$4,4)+COUNTIF('D13'!O$2:O$17,4))/$A$20</f>
        <v>8.6206896551724144E-2</v>
      </c>
    </row>
    <row r="220" spans="3:5" x14ac:dyDescent="0.25">
      <c r="C220" s="67" t="str">
        <f>$A$26</f>
        <v>3-BOM</v>
      </c>
      <c r="D220" s="141">
        <f>(COUNTIF('D3'!O$2:O$6,3)+COUNTIF('D4'!O$2:O$5,3)+COUNTIF('D5'!O$2:O$3,3)+COUNTIF('D6'!O$2:O$6,3)+COUNTIF('D7'!O$2:O$6,3)+COUNTIF('D8'!O$2:O$6,3)+COUNTIF('D9'!O$2:O$9,3)+COUNTIF('D10'!O$2:O$7,3)+COUNTIF('D11'!O$2:O$3,3)+COUNTIF('D12'!O$2:O$4,3)+COUNTIF('D13'!O$2:O$17,3))/$A$20</f>
        <v>6.8965517241379309E-2</v>
      </c>
    </row>
    <row r="221" spans="3:5" x14ac:dyDescent="0.25">
      <c r="C221" s="67" t="str">
        <f>$A$27</f>
        <v>2-REGULAR</v>
      </c>
      <c r="D221" s="141">
        <f>(COUNTIF('D3'!O$2:O$6,2)+COUNTIF('D4'!O$2:O$5,2)+COUNTIF('D5'!O$2:O$3,2)+COUNTIF('D6'!O$2:O$6,2)+COUNTIF('D7'!O$2:O$6,2)+COUNTIF('D8'!O$2:O$6,2)+COUNTIF('D9'!O$2:O$9,2)+COUNTIF('D10'!O$2:O$7,2)+COUNTIF('D11'!O$2:O$3,2)+COUNTIF('D12'!O$2:O$4,2)+COUNTIF('D13'!O$2:O$17,2))/$A$20</f>
        <v>1.7241379310344827E-2</v>
      </c>
    </row>
    <row r="222" spans="3:5" x14ac:dyDescent="0.25">
      <c r="C222" s="67" t="str">
        <f>$A$28</f>
        <v>1-RUIM</v>
      </c>
      <c r="D222" s="141">
        <f>(COUNTIF('D3'!O$2:O$6,1)+COUNTIF('D4'!O$2:O$5,1)+COUNTIF('D5'!O$2:O$3,1)+COUNTIF('D6'!O$2:O$6,1)+COUNTIF('D7'!O$2:O$6,1)+COUNTIF('D8'!O$2:O$6,1)+COUNTIF('D9'!O$2:O$9,1)+COUNTIF('D10'!O$2:O$7,1)+COUNTIF('D11'!O$2:O$3,1)+COUNTIF('D12'!O$2:O$4,1)+COUNTIF('D13'!O$2:O$17,1))/$A$20</f>
        <v>0</v>
      </c>
    </row>
    <row r="223" spans="3:5" x14ac:dyDescent="0.25">
      <c r="C223" s="68" t="str">
        <f>$A$29</f>
        <v>0-NÃO SE APLICA</v>
      </c>
      <c r="D223" s="141">
        <f>(COUNTIF('D3'!O$2:O$6,0)+COUNTIF('D4'!O$2:O$5,0)+COUNTIF('D5'!O$2:O$3,0)+COUNTIF('D6'!O$2:O$6,0)+COUNTIF('D7'!O$2:O$6,0)+COUNTIF('D8'!O$2:O$6,0)+COUNTIF('D9'!O$2:O$9,0)+COUNTIF('D10'!O$2:O$7,0)+COUNTIF('D11'!O$2:O$3,0)+COUNTIF('D12'!O$2:O$4,0)+COUNTIF('D13'!O$2:O$17,0))/$A$20</f>
        <v>3.4482758620689655E-2</v>
      </c>
    </row>
    <row r="224" spans="3:5" ht="15.6" x14ac:dyDescent="0.3">
      <c r="C224" s="12"/>
    </row>
    <row r="225" spans="3:5" ht="15.6" x14ac:dyDescent="0.3">
      <c r="C225" s="79"/>
      <c r="D225" s="113" t="str">
        <f>D216</f>
        <v>questão 13</v>
      </c>
    </row>
    <row r="226" spans="3:5" ht="15.6" x14ac:dyDescent="0.3">
      <c r="C226" s="121" t="str">
        <f>'Dashboard-1-AVALIAÇÃO INST.'!$A$29</f>
        <v>MUITO BOM / ÓTIMO</v>
      </c>
      <c r="D226" s="99">
        <f>D218+D219</f>
        <v>0.8793103448275863</v>
      </c>
    </row>
    <row r="227" spans="3:5" ht="15.6" x14ac:dyDescent="0.3">
      <c r="C227" s="122" t="str">
        <f>'Dashboard-1-AVALIAÇÃO INST.'!$A$30</f>
        <v>BOM</v>
      </c>
      <c r="D227" s="101">
        <f>D220</f>
        <v>6.8965517241379309E-2</v>
      </c>
    </row>
    <row r="228" spans="3:5" ht="15.6" x14ac:dyDescent="0.3">
      <c r="C228" s="122" t="str">
        <f>'Dashboard-1-AVALIAÇÃO INST.'!$A$31</f>
        <v>RUIM / REGULAR</v>
      </c>
      <c r="D228" s="101">
        <f>D221+D222</f>
        <v>1.7241379310344827E-2</v>
      </c>
    </row>
    <row r="229" spans="3:5" ht="15.6" x14ac:dyDescent="0.3">
      <c r="C229" s="123" t="str">
        <f>'Dashboard-1-AVALIAÇÃO INST.'!$A$32</f>
        <v>NÃO SE APLICA / NÃO SEI</v>
      </c>
      <c r="D229" s="103">
        <f>D223</f>
        <v>3.4482758620689655E-2</v>
      </c>
    </row>
    <row r="230" spans="3:5" x14ac:dyDescent="0.25">
      <c r="C230" s="105">
        <f>(SUM(D226:D229))</f>
        <v>1.0000000000000002</v>
      </c>
      <c r="D230" s="106" t="str">
        <f>IF(C230=100%, "CORRETO","ERRO")</f>
        <v>CORRETO</v>
      </c>
    </row>
    <row r="235" spans="3:5" ht="15.6" x14ac:dyDescent="0.3">
      <c r="D235" s="42" t="str">
        <f>'D3'!$P$19</f>
        <v>questão 14</v>
      </c>
      <c r="E235" s="12" t="str">
        <f>'D3'!$P$1</f>
        <v>14- O docente usou diversificadas técnicas e metodologias de ensino ?</v>
      </c>
    </row>
    <row r="237" spans="3:5" x14ac:dyDescent="0.25">
      <c r="C237" s="66" t="str">
        <f>$A$24</f>
        <v>5-ÓTIMO</v>
      </c>
      <c r="D237" s="141">
        <f>(COUNTIF('D3'!P$2:P$6,5)+COUNTIF('D4'!P$2:P$5,5)+COUNTIF('D5'!P$2:P$3,5)+COUNTIF('D6'!P$2:P$6,5)+COUNTIF('D7'!P$2:P$6,5)+COUNTIF('D8'!P$2:P$6,5)+COUNTIF('D9'!P$2:P$9,5)+COUNTIF('D10'!P$2:P$7,5)+COUNTIF('D11'!P$2:P$3,5)+COUNTIF('D12'!P$2:P$4,5)+COUNTIF('D13'!P$2:P$17,5))/$A$20</f>
        <v>0.56896551724137934</v>
      </c>
    </row>
    <row r="238" spans="3:5" x14ac:dyDescent="0.25">
      <c r="C238" s="67" t="str">
        <f>$A$25</f>
        <v>4-MUITO BOM</v>
      </c>
      <c r="D238" s="141">
        <f>(COUNTIF('D3'!P$2:P$6,4)+COUNTIF('D4'!P$2:P$5,4)+COUNTIF('D5'!P$2:P$3,4)+COUNTIF('D6'!P$2:P$6,4)+COUNTIF('D7'!P$2:P$6,4)+COUNTIF('D8'!P$2:P$6,4)+COUNTIF('D9'!P$2:P$9,4)+COUNTIF('D10'!P$2:P$7,4)+COUNTIF('D11'!P$2:P$3,4)+COUNTIF('D12'!P$2:P$4,4)+COUNTIF('D13'!P$2:P$17,4))/$A$20</f>
        <v>0.10344827586206896</v>
      </c>
    </row>
    <row r="239" spans="3:5" x14ac:dyDescent="0.25">
      <c r="C239" s="67" t="str">
        <f>$A$26</f>
        <v>3-BOM</v>
      </c>
      <c r="D239" s="141">
        <f>(COUNTIF('D3'!P$2:P$6,3)+COUNTIF('D4'!P$2:P$5,3)+COUNTIF('D5'!P$2:P$3,3)+COUNTIF('D6'!P$2:P$6,3)+COUNTIF('D7'!P$2:P$6,3)+COUNTIF('D8'!P$2:P$6,3)+COUNTIF('D9'!P$2:P$9,3)+COUNTIF('D10'!P$2:P$7,3)+COUNTIF('D11'!P$2:P$3,3)+COUNTIF('D12'!P$2:P$4,3)+COUNTIF('D13'!P$2:P$17,3))/$A$20</f>
        <v>0.22413793103448276</v>
      </c>
    </row>
    <row r="240" spans="3:5" x14ac:dyDescent="0.25">
      <c r="C240" s="67" t="str">
        <f>$A$27</f>
        <v>2-REGULAR</v>
      </c>
      <c r="D240" s="141">
        <f>(COUNTIF('D3'!P$2:P$6,2)+COUNTIF('D4'!P$2:P$5,2)+COUNTIF('D5'!P$2:P$3,2)+COUNTIF('D6'!P$2:P$6,2)+COUNTIF('D7'!P$2:P$6,2)+COUNTIF('D8'!P$2:P$6,2)+COUNTIF('D9'!P$2:P$9,2)+COUNTIF('D10'!P$2:P$7,2)+COUNTIF('D11'!P$2:P$3,2)+COUNTIF('D12'!P$2:P$4,2)+COUNTIF('D13'!P$2:P$17,2))/$A$20</f>
        <v>3.4482758620689655E-2</v>
      </c>
    </row>
    <row r="241" spans="3:5" x14ac:dyDescent="0.25">
      <c r="C241" s="67" t="str">
        <f>$A$28</f>
        <v>1-RUIM</v>
      </c>
      <c r="D241" s="141">
        <f>(COUNTIF('D3'!P$2:P$6,1)+COUNTIF('D4'!P$2:P$5,1)+COUNTIF('D5'!P$2:P$3,1)+COUNTIF('D6'!P$2:P$6,1)+COUNTIF('D7'!P$2:P$6,1)+COUNTIF('D8'!P$2:P$6,1)+COUNTIF('D9'!P$2:P$9,1)+COUNTIF('D10'!P$2:P$7,1)+COUNTIF('D11'!P$2:P$3,1)+COUNTIF('D12'!P$2:P$4,1)+COUNTIF('D13'!P$2:P$17,1))/$A$20</f>
        <v>5.1724137931034482E-2</v>
      </c>
    </row>
    <row r="242" spans="3:5" x14ac:dyDescent="0.25">
      <c r="C242" s="68" t="str">
        <f>$A$29</f>
        <v>0-NÃO SE APLICA</v>
      </c>
      <c r="D242" s="141">
        <f>(COUNTIF('D3'!P$2:P$6,0)+COUNTIF('D4'!P$2:P$5,0)+COUNTIF('D5'!P$2:P$3,0)+COUNTIF('D6'!P$2:P$6,0)+COUNTIF('D7'!P$2:P$6,0)+COUNTIF('D8'!P$2:P$6,0)+COUNTIF('D9'!P$2:P$9,0)+COUNTIF('D10'!P$2:P$7,0)+COUNTIF('D11'!P$2:P$3,0)+COUNTIF('D12'!P$2:P$4,0)+COUNTIF('D13'!P$2:P$17,0))/$A$20</f>
        <v>1.7241379310344827E-2</v>
      </c>
    </row>
    <row r="243" spans="3:5" ht="15.6" x14ac:dyDescent="0.3">
      <c r="C243" s="12"/>
    </row>
    <row r="244" spans="3:5" ht="15.6" x14ac:dyDescent="0.3">
      <c r="C244" s="79"/>
      <c r="D244" s="113" t="str">
        <f>D235</f>
        <v>questão 14</v>
      </c>
    </row>
    <row r="245" spans="3:5" ht="15.6" x14ac:dyDescent="0.3">
      <c r="C245" s="121" t="str">
        <f>'Dashboard-1-AVALIAÇÃO INST.'!$A$29</f>
        <v>MUITO BOM / ÓTIMO</v>
      </c>
      <c r="D245" s="99">
        <f>D237+D238</f>
        <v>0.67241379310344829</v>
      </c>
    </row>
    <row r="246" spans="3:5" ht="15.6" x14ac:dyDescent="0.3">
      <c r="C246" s="122" t="str">
        <f>'Dashboard-1-AVALIAÇÃO INST.'!$A$30</f>
        <v>BOM</v>
      </c>
      <c r="D246" s="101">
        <f>D239</f>
        <v>0.22413793103448276</v>
      </c>
    </row>
    <row r="247" spans="3:5" ht="15.6" x14ac:dyDescent="0.3">
      <c r="C247" s="122" t="str">
        <f>'Dashboard-1-AVALIAÇÃO INST.'!$A$31</f>
        <v>RUIM / REGULAR</v>
      </c>
      <c r="D247" s="101">
        <f>D240+D241</f>
        <v>8.6206896551724144E-2</v>
      </c>
    </row>
    <row r="248" spans="3:5" ht="15.6" x14ac:dyDescent="0.3">
      <c r="C248" s="123" t="str">
        <f>'Dashboard-1-AVALIAÇÃO INST.'!$A$32</f>
        <v>NÃO SE APLICA / NÃO SEI</v>
      </c>
      <c r="D248" s="103">
        <f>D242</f>
        <v>1.7241379310344827E-2</v>
      </c>
    </row>
    <row r="249" spans="3:5" x14ac:dyDescent="0.25">
      <c r="C249" s="105">
        <f>(SUM(D245:D248))</f>
        <v>1</v>
      </c>
      <c r="D249" s="106" t="str">
        <f>IF(C249=100%, "CORRETO","ERRO")</f>
        <v>CORRETO</v>
      </c>
    </row>
    <row r="254" spans="3:5" ht="15.6" x14ac:dyDescent="0.3">
      <c r="D254" s="42" t="str">
        <f>'D3'!$Q$19</f>
        <v>questão 15</v>
      </c>
      <c r="E254" s="12" t="str">
        <f>'D3'!$Q$1</f>
        <v>15- O docente esteve pontual e assíduo em todas as aulas presenciais e não presenciais ?</v>
      </c>
    </row>
    <row r="256" spans="3:5" x14ac:dyDescent="0.25">
      <c r="C256" s="66" t="str">
        <f>$A$24</f>
        <v>5-ÓTIMO</v>
      </c>
      <c r="D256" s="141">
        <f>(COUNTIF('D3'!Q$2:Q$6,5)+COUNTIF('D4'!Q$2:Q$5,5)+COUNTIF('D5'!Q$2:Q$3,5)+COUNTIF('D6'!Q$2:Q$6,5)+COUNTIF('D7'!Q$2:Q$6,5)+COUNTIF('D8'!Q$2:Q$6,5)+COUNTIF('D9'!Q$2:Q$9,5)+COUNTIF('D10'!Q$2:Q$7,5)+COUNTIF('D11'!Q$2:Q$3,5)+COUNTIF('D12'!Q$2:Q$4,5)+COUNTIF('D13'!Q$2:Q$17,5))/$A$20</f>
        <v>0.86206896551724133</v>
      </c>
    </row>
    <row r="257" spans="3:4" x14ac:dyDescent="0.25">
      <c r="C257" s="67" t="str">
        <f>$A$25</f>
        <v>4-MUITO BOM</v>
      </c>
      <c r="D257" s="141">
        <f>(COUNTIF('D3'!Q$2:Q$6,4)+COUNTIF('D4'!Q$2:Q$5,4)+COUNTIF('D5'!Q$2:Q$3,4)+COUNTIF('D6'!Q$2:Q$6,4)+COUNTIF('D7'!Q$2:Q$6,4)+COUNTIF('D8'!Q$2:Q$6,4)+COUNTIF('D9'!Q$2:Q$9,4)+COUNTIF('D10'!Q$2:Q$7,4)+COUNTIF('D11'!Q$2:Q$3,4)+COUNTIF('D12'!Q$2:Q$4,4)+COUNTIF('D13'!Q$2:Q$17,4))/$A$20</f>
        <v>8.6206896551724144E-2</v>
      </c>
    </row>
    <row r="258" spans="3:4" x14ac:dyDescent="0.25">
      <c r="C258" s="67" t="str">
        <f>$A$26</f>
        <v>3-BOM</v>
      </c>
      <c r="D258" s="141">
        <f>(COUNTIF('D3'!Q$2:Q$6,3)+COUNTIF('D4'!Q$2:Q$5,3)+COUNTIF('D5'!Q$2:Q$3,3)+COUNTIF('D6'!Q$2:Q$6,3)+COUNTIF('D7'!Q$2:Q$6,3)+COUNTIF('D8'!Q$2:Q$6,3)+COUNTIF('D9'!Q$2:Q$9,3)+COUNTIF('D10'!Q$2:Q$7,3)+COUNTIF('D11'!Q$2:Q$3,3)+COUNTIF('D12'!Q$2:Q$4,3)+COUNTIF('D13'!Q$2:Q$17,3))/$A$20</f>
        <v>0</v>
      </c>
    </row>
    <row r="259" spans="3:4" x14ac:dyDescent="0.25">
      <c r="C259" s="67" t="str">
        <f>$A$27</f>
        <v>2-REGULAR</v>
      </c>
      <c r="D259" s="141">
        <f>(COUNTIF('D3'!Q$2:Q$6,2)+COUNTIF('D4'!Q$2:Q$5,2)+COUNTIF('D5'!Q$2:Q$3,2)+COUNTIF('D6'!Q$2:Q$6,2)+COUNTIF('D7'!Q$2:Q$6,2)+COUNTIF('D8'!Q$2:Q$6,2)+COUNTIF('D9'!Q$2:Q$9,2)+COUNTIF('D10'!Q$2:Q$7,2)+COUNTIF('D11'!Q$2:Q$3,2)+COUNTIF('D12'!Q$2:Q$4,2)+COUNTIF('D13'!Q$2:Q$17,2))/$A$20</f>
        <v>0</v>
      </c>
    </row>
    <row r="260" spans="3:4" x14ac:dyDescent="0.25">
      <c r="C260" s="67" t="str">
        <f>$A$28</f>
        <v>1-RUIM</v>
      </c>
      <c r="D260" s="141">
        <f>(COUNTIF('D3'!Q$2:Q$6,1)+COUNTIF('D4'!Q$2:Q$5,1)+COUNTIF('D5'!Q$2:Q$3,1)+COUNTIF('D6'!Q$2:Q$6,1)+COUNTIF('D7'!Q$2:Q$6,1)+COUNTIF('D8'!Q$2:Q$6,1)+COUNTIF('D9'!Q$2:Q$9,1)+COUNTIF('D10'!Q$2:Q$7,1)+COUNTIF('D11'!Q$2:Q$3,1)+COUNTIF('D12'!Q$2:Q$4,1)+COUNTIF('D13'!Q$2:Q$17,1))/$A$20</f>
        <v>3.4482758620689655E-2</v>
      </c>
    </row>
    <row r="261" spans="3:4" x14ac:dyDescent="0.25">
      <c r="C261" s="68" t="str">
        <f>$A$29</f>
        <v>0-NÃO SE APLICA</v>
      </c>
      <c r="D261" s="141">
        <f>(COUNTIF('D3'!Q$2:Q$6,0)+COUNTIF('D4'!Q$2:Q$5,0)+COUNTIF('D5'!Q$2:Q$3,0)+COUNTIF('D6'!Q$2:Q$6,0)+COUNTIF('D7'!Q$2:Q$6,0)+COUNTIF('D8'!Q$2:Q$6,0)+COUNTIF('D9'!Q$2:Q$9,0)+COUNTIF('D10'!Q$2:Q$7,0)+COUNTIF('D11'!Q$2:Q$3,0)+COUNTIF('D12'!Q$2:Q$4,0)+COUNTIF('D13'!Q$2:Q$17,0))/$A$20</f>
        <v>1.7241379310344827E-2</v>
      </c>
    </row>
    <row r="262" spans="3:4" ht="15.6" x14ac:dyDescent="0.3">
      <c r="C262" s="12"/>
    </row>
    <row r="263" spans="3:4" ht="15.6" x14ac:dyDescent="0.3">
      <c r="C263" s="79"/>
      <c r="D263" s="113" t="str">
        <f>D254</f>
        <v>questão 15</v>
      </c>
    </row>
    <row r="264" spans="3:4" ht="15.6" x14ac:dyDescent="0.3">
      <c r="C264" s="121" t="str">
        <f>'Dashboard-1-AVALIAÇÃO INST.'!$A$29</f>
        <v>MUITO BOM / ÓTIMO</v>
      </c>
      <c r="D264" s="99">
        <f>D256+D257</f>
        <v>0.94827586206896552</v>
      </c>
    </row>
    <row r="265" spans="3:4" ht="15.6" x14ac:dyDescent="0.3">
      <c r="C265" s="122" t="str">
        <f>'Dashboard-1-AVALIAÇÃO INST.'!$A$30</f>
        <v>BOM</v>
      </c>
      <c r="D265" s="101">
        <f>D258</f>
        <v>0</v>
      </c>
    </row>
    <row r="266" spans="3:4" ht="15.6" x14ac:dyDescent="0.3">
      <c r="C266" s="122" t="str">
        <f>'Dashboard-1-AVALIAÇÃO INST.'!$A$31</f>
        <v>RUIM / REGULAR</v>
      </c>
      <c r="D266" s="101">
        <f>D259+D260</f>
        <v>3.4482758620689655E-2</v>
      </c>
    </row>
    <row r="267" spans="3:4" ht="15.6" x14ac:dyDescent="0.3">
      <c r="C267" s="123" t="str">
        <f>'Dashboard-1-AVALIAÇÃO INST.'!$A$32</f>
        <v>NÃO SE APLICA / NÃO SEI</v>
      </c>
      <c r="D267" s="103">
        <f>D261</f>
        <v>1.7241379310344827E-2</v>
      </c>
    </row>
    <row r="268" spans="3:4" x14ac:dyDescent="0.25">
      <c r="C268" s="105">
        <f>(SUM(D264:D267))</f>
        <v>1</v>
      </c>
      <c r="D268" s="106" t="str">
        <f>IF(C268=100%, "CORRETO","ERRO")</f>
        <v>CORRETO</v>
      </c>
    </row>
    <row r="273" spans="3:5" ht="15.6" x14ac:dyDescent="0.3">
      <c r="D273" s="42" t="str">
        <f>'D3'!$R$19</f>
        <v>questão 16</v>
      </c>
      <c r="E273" s="12" t="str">
        <f>'D3'!$R$1</f>
        <v>16- O docente esteve disponível para esclarecer dúvidas em horário extraclasse?</v>
      </c>
    </row>
    <row r="275" spans="3:5" x14ac:dyDescent="0.25">
      <c r="C275" s="66" t="str">
        <f>$A$24</f>
        <v>5-ÓTIMO</v>
      </c>
      <c r="D275" s="141">
        <f>(COUNTIF('D3'!R$2:R$6,5)+COUNTIF('D4'!R$2:R$5,5)+COUNTIF('D5'!R$2:R$3,5)+COUNTIF('D6'!R$2:R$6,5)+COUNTIF('D7'!R$2:R$6,5)+COUNTIF('D8'!R$2:R$6,5)+COUNTIF('D9'!R$2:R$9,5)+COUNTIF('D10'!R$2:R$7,5)+COUNTIF('D11'!R$2:R$3,5)+COUNTIF('D12'!R$2:R$4,5)+COUNTIF('D13'!R$2:R$17,5))/$A$20</f>
        <v>0.77586206896551724</v>
      </c>
    </row>
    <row r="276" spans="3:5" x14ac:dyDescent="0.25">
      <c r="C276" s="67" t="str">
        <f>$A$25</f>
        <v>4-MUITO BOM</v>
      </c>
      <c r="D276" s="141">
        <f>(COUNTIF('D3'!R$2:R$6,4)+COUNTIF('D4'!R$2:R$5,4)+COUNTIF('D5'!R$2:R$3,4)+COUNTIF('D6'!R$2:R$6,4)+COUNTIF('D7'!R$2:R$6,4)+COUNTIF('D8'!R$2:R$6,4)+COUNTIF('D9'!R$2:R$9,4)+COUNTIF('D10'!R$2:R$7,4)+COUNTIF('D11'!R$2:R$3,4)+COUNTIF('D12'!R$2:R$4,4)+COUNTIF('D13'!R$2:R$17,4))/$A$20</f>
        <v>0.10344827586206896</v>
      </c>
    </row>
    <row r="277" spans="3:5" x14ac:dyDescent="0.25">
      <c r="C277" s="67" t="str">
        <f>$A$26</f>
        <v>3-BOM</v>
      </c>
      <c r="D277" s="141">
        <f>(COUNTIF('D3'!R$2:R$6,3)+COUNTIF('D4'!R$2:R$5,3)+COUNTIF('D5'!R$2:R$3,3)+COUNTIF('D6'!R$2:R$6,3)+COUNTIF('D7'!R$2:R$6,3)+COUNTIF('D8'!R$2:R$6,3)+COUNTIF('D9'!R$2:R$9,3)+COUNTIF('D10'!R$2:R$7,3)+COUNTIF('D11'!R$2:R$3,3)+COUNTIF('D12'!R$2:R$4,3)+COUNTIF('D13'!R$2:R$17,3))/$A$20</f>
        <v>3.4482758620689655E-2</v>
      </c>
    </row>
    <row r="278" spans="3:5" x14ac:dyDescent="0.25">
      <c r="C278" s="67" t="str">
        <f>$A$27</f>
        <v>2-REGULAR</v>
      </c>
      <c r="D278" s="141">
        <f>(COUNTIF('D3'!R$2:R$6,2)+COUNTIF('D4'!R$2:R$5,2)+COUNTIF('D5'!R$2:R$3,2)+COUNTIF('D6'!R$2:R$6,2)+COUNTIF('D7'!R$2:R$6,2)+COUNTIF('D8'!R$2:R$6,2)+COUNTIF('D9'!R$2:R$9,2)+COUNTIF('D10'!R$2:R$7,2)+COUNTIF('D11'!R$2:R$3,2)+COUNTIF('D12'!R$2:R$4,2)+COUNTIF('D13'!R$2:R$17,2))/$A$20</f>
        <v>5.1724137931034482E-2</v>
      </c>
    </row>
    <row r="279" spans="3:5" x14ac:dyDescent="0.25">
      <c r="C279" s="67" t="str">
        <f>$A$28</f>
        <v>1-RUIM</v>
      </c>
      <c r="D279" s="141">
        <f>(COUNTIF('D3'!R$2:R$6,1)+COUNTIF('D4'!R$2:R$5,1)+COUNTIF('D5'!R$2:R$3,1)+COUNTIF('D6'!R$2:R$6,1)+COUNTIF('D7'!R$2:R$6,1)+COUNTIF('D8'!R$2:R$6,1)+COUNTIF('D9'!R$2:R$9,1)+COUNTIF('D10'!R$2:R$7,1)+COUNTIF('D11'!R$2:R$3,1)+COUNTIF('D12'!R$2:R$4,1)+COUNTIF('D13'!R$2:R$17,1))/$A$20</f>
        <v>0</v>
      </c>
    </row>
    <row r="280" spans="3:5" x14ac:dyDescent="0.25">
      <c r="C280" s="68" t="str">
        <f>$A$29</f>
        <v>0-NÃO SE APLICA</v>
      </c>
      <c r="D280" s="141">
        <f>(COUNTIF('D3'!R$2:R$6,0)+COUNTIF('D4'!R$2:R$5,0)+COUNTIF('D5'!R$2:R$3,0)+COUNTIF('D6'!R$2:R$6,0)+COUNTIF('D7'!R$2:R$6,0)+COUNTIF('D8'!R$2:R$6,0)+COUNTIF('D9'!R$2:R$9,0)+COUNTIF('D10'!R$2:R$7,0)+COUNTIF('D11'!R$2:R$3,0)+COUNTIF('D12'!R$2:R$4,0)+COUNTIF('D13'!R$2:R$17,0))/$A$20</f>
        <v>3.4482758620689655E-2</v>
      </c>
    </row>
    <row r="281" spans="3:5" ht="15.6" x14ac:dyDescent="0.3">
      <c r="C281" s="12"/>
    </row>
    <row r="282" spans="3:5" ht="15.6" x14ac:dyDescent="0.3">
      <c r="C282" s="79"/>
      <c r="D282" s="113" t="str">
        <f>D273</f>
        <v>questão 16</v>
      </c>
    </row>
    <row r="283" spans="3:5" ht="15.6" x14ac:dyDescent="0.3">
      <c r="C283" s="121" t="str">
        <f>'Dashboard-1-AVALIAÇÃO INST.'!$A$29</f>
        <v>MUITO BOM / ÓTIMO</v>
      </c>
      <c r="D283" s="99">
        <f>D275+D276</f>
        <v>0.87931034482758619</v>
      </c>
    </row>
    <row r="284" spans="3:5" ht="15.6" x14ac:dyDescent="0.3">
      <c r="C284" s="122" t="str">
        <f>'Dashboard-1-AVALIAÇÃO INST.'!$A$30</f>
        <v>BOM</v>
      </c>
      <c r="D284" s="101">
        <f>D277</f>
        <v>3.4482758620689655E-2</v>
      </c>
    </row>
    <row r="285" spans="3:5" ht="15.6" x14ac:dyDescent="0.3">
      <c r="C285" s="122" t="str">
        <f>'Dashboard-1-AVALIAÇÃO INST.'!$A$31</f>
        <v>RUIM / REGULAR</v>
      </c>
      <c r="D285" s="101">
        <f>D278+D279</f>
        <v>5.1724137931034482E-2</v>
      </c>
    </row>
    <row r="286" spans="3:5" ht="15.6" x14ac:dyDescent="0.3">
      <c r="C286" s="123" t="str">
        <f>'Dashboard-1-AVALIAÇÃO INST.'!$A$32</f>
        <v>NÃO SE APLICA / NÃO SEI</v>
      </c>
      <c r="D286" s="103">
        <f>D280</f>
        <v>3.4482758620689655E-2</v>
      </c>
    </row>
    <row r="287" spans="3:5" x14ac:dyDescent="0.25">
      <c r="C287" s="105">
        <f>(SUM(D283:D286))</f>
        <v>0.99999999999999989</v>
      </c>
      <c r="D287" s="106" t="str">
        <f>IF(C287=100%, "CORRETO","ERRO")</f>
        <v>CORRETO</v>
      </c>
    </row>
    <row r="292" spans="3:5" ht="15.6" x14ac:dyDescent="0.3">
      <c r="D292" s="42" t="str">
        <f>'D3'!$S$19</f>
        <v>questão 17</v>
      </c>
      <c r="E292" s="12" t="str">
        <f>'D3'!$S$1</f>
        <v>17- O docente respeita os horários estabelecidos no CAPG de início e término das aulas ?</v>
      </c>
    </row>
    <row r="294" spans="3:5" x14ac:dyDescent="0.25">
      <c r="C294" s="66" t="str">
        <f>$A$24</f>
        <v>5-ÓTIMO</v>
      </c>
      <c r="D294" s="141">
        <f>(COUNTIF('D3'!S$2:S$6,5)+COUNTIF('D4'!S$2:S$5,5)+COUNTIF('D5'!S$2:S$3,5)+COUNTIF('D6'!S$2:S$6,5)+COUNTIF('D7'!S$2:S$6,5)+COUNTIF('D8'!S$2:S$6,5)+COUNTIF('D9'!S$2:S$9,5)+COUNTIF('D10'!S$2:S$7,5)+COUNTIF('D11'!S$2:S$3,5)+COUNTIF('D12'!S$2:S$4,5)+COUNTIF('D13'!S$2:S$17,5))/$A$20</f>
        <v>0.75862068965517238</v>
      </c>
    </row>
    <row r="295" spans="3:5" x14ac:dyDescent="0.25">
      <c r="C295" s="67" t="str">
        <f>$A$25</f>
        <v>4-MUITO BOM</v>
      </c>
      <c r="D295" s="141">
        <f>(COUNTIF('D3'!S$2:S$6,4)+COUNTIF('D4'!S$2:S$5,4)+COUNTIF('D5'!S$2:S$3,4)+COUNTIF('D6'!S$2:S$6,4)+COUNTIF('D7'!S$2:S$6,4)+COUNTIF('D8'!S$2:S$6,4)+COUNTIF('D9'!S$2:S$9,4)+COUNTIF('D10'!S$2:S$7,4)+COUNTIF('D11'!S$2:S$3,4)+COUNTIF('D12'!S$2:S$4,4)+COUNTIF('D13'!S$2:S$17,4))/$A$20</f>
        <v>0.13793103448275862</v>
      </c>
    </row>
    <row r="296" spans="3:5" x14ac:dyDescent="0.25">
      <c r="C296" s="67" t="str">
        <f>$A$26</f>
        <v>3-BOM</v>
      </c>
      <c r="D296" s="141">
        <f>(COUNTIF('D3'!S$2:S$6,3)+COUNTIF('D4'!S$2:S$5,3)+COUNTIF('D5'!S$2:S$3,3)+COUNTIF('D6'!S$2:S$6,3)+COUNTIF('D7'!S$2:S$6,3)+COUNTIF('D8'!S$2:S$6,3)+COUNTIF('D9'!S$2:S$9,3)+COUNTIF('D10'!S$2:S$7,3)+COUNTIF('D11'!S$2:S$3,3)+COUNTIF('D12'!S$2:S$4,3)+COUNTIF('D13'!S$2:S$17,3))/$A$20</f>
        <v>3.4482758620689655E-2</v>
      </c>
    </row>
    <row r="297" spans="3:5" x14ac:dyDescent="0.25">
      <c r="C297" s="67" t="str">
        <f>$A$27</f>
        <v>2-REGULAR</v>
      </c>
      <c r="D297" s="141">
        <f>(COUNTIF('D3'!S$2:S$6,2)+COUNTIF('D4'!S$2:S$5,2)+COUNTIF('D5'!S$2:S$3,2)+COUNTIF('D6'!S$2:S$6,2)+COUNTIF('D7'!S$2:S$6,2)+COUNTIF('D8'!S$2:S$6,2)+COUNTIF('D9'!S$2:S$9,2)+COUNTIF('D10'!S$2:S$7,2)+COUNTIF('D11'!S$2:S$3,2)+COUNTIF('D12'!S$2:S$4,2)+COUNTIF('D13'!S$2:S$17,2))/$A$20</f>
        <v>3.4482758620689655E-2</v>
      </c>
    </row>
    <row r="298" spans="3:5" x14ac:dyDescent="0.25">
      <c r="C298" s="67" t="str">
        <f>$A$28</f>
        <v>1-RUIM</v>
      </c>
      <c r="D298" s="141">
        <f>(COUNTIF('D3'!S$2:S$6,1)+COUNTIF('D4'!S$2:S$5,1)+COUNTIF('D5'!S$2:S$3,1)+COUNTIF('D6'!S$2:S$6,1)+COUNTIF('D7'!S$2:S$6,1)+COUNTIF('D8'!S$2:S$6,1)+COUNTIF('D9'!S$2:S$9,1)+COUNTIF('D10'!S$2:S$7,1)+COUNTIF('D11'!S$2:S$3,1)+COUNTIF('D12'!S$2:S$4,1)+COUNTIF('D13'!S$2:S$17,1))/$A$20</f>
        <v>1.7241379310344827E-2</v>
      </c>
    </row>
    <row r="299" spans="3:5" x14ac:dyDescent="0.25">
      <c r="C299" s="68" t="str">
        <f>$A$29</f>
        <v>0-NÃO SE APLICA</v>
      </c>
      <c r="D299" s="141">
        <f>(COUNTIF('D3'!S$2:S$6,0)+COUNTIF('D4'!S$2:S$5,0)+COUNTIF('D5'!S$2:S$3,0)+COUNTIF('D6'!S$2:S$6,0)+COUNTIF('D7'!S$2:S$6,0)+COUNTIF('D8'!S$2:S$6,0)+COUNTIF('D9'!S$2:S$9,0)+COUNTIF('D10'!S$2:S$7,0)+COUNTIF('D11'!S$2:S$3,0)+COUNTIF('D12'!S$2:S$4,0)+COUNTIF('D13'!S$2:S$17,0))/$A$20</f>
        <v>1.7241379310344827E-2</v>
      </c>
    </row>
    <row r="300" spans="3:5" ht="15.6" x14ac:dyDescent="0.3">
      <c r="C300" s="12"/>
    </row>
    <row r="301" spans="3:5" ht="15.6" x14ac:dyDescent="0.3">
      <c r="C301" s="79"/>
      <c r="D301" s="113" t="str">
        <f>D292</f>
        <v>questão 17</v>
      </c>
    </row>
    <row r="302" spans="3:5" ht="15.6" x14ac:dyDescent="0.3">
      <c r="C302" s="121" t="str">
        <f>'Dashboard-1-AVALIAÇÃO INST.'!$A$29</f>
        <v>MUITO BOM / ÓTIMO</v>
      </c>
      <c r="D302" s="99">
        <f>D294+D295</f>
        <v>0.89655172413793105</v>
      </c>
    </row>
    <row r="303" spans="3:5" ht="15.6" x14ac:dyDescent="0.3">
      <c r="C303" s="122" t="str">
        <f>'Dashboard-1-AVALIAÇÃO INST.'!$A$30</f>
        <v>BOM</v>
      </c>
      <c r="D303" s="101">
        <f>D296</f>
        <v>3.4482758620689655E-2</v>
      </c>
    </row>
    <row r="304" spans="3:5" ht="15.6" x14ac:dyDescent="0.3">
      <c r="C304" s="122" t="str">
        <f>'Dashboard-1-AVALIAÇÃO INST.'!$A$31</f>
        <v>RUIM / REGULAR</v>
      </c>
      <c r="D304" s="101">
        <f>D297+D298</f>
        <v>5.1724137931034482E-2</v>
      </c>
    </row>
    <row r="305" spans="3:5" ht="15.6" x14ac:dyDescent="0.3">
      <c r="C305" s="123" t="str">
        <f>'Dashboard-1-AVALIAÇÃO INST.'!$A$32</f>
        <v>NÃO SE APLICA / NÃO SEI</v>
      </c>
      <c r="D305" s="103">
        <f>D299</f>
        <v>1.7241379310344827E-2</v>
      </c>
    </row>
    <row r="306" spans="3:5" x14ac:dyDescent="0.25">
      <c r="C306" s="105">
        <f>(SUM(D302:D305))</f>
        <v>1</v>
      </c>
      <c r="D306" s="106" t="str">
        <f>IF(C306=100%, "CORRETO","ERRO")</f>
        <v>CORRETO</v>
      </c>
    </row>
    <row r="312" spans="3:5" ht="15.6" x14ac:dyDescent="0.3">
      <c r="D312" s="42" t="str">
        <f>'D3'!$U$19</f>
        <v>questão 19</v>
      </c>
      <c r="E312" s="12" t="str">
        <f>'D3'!$U$1</f>
        <v>19- Você se dedicou suficientemente aos estudos desta disciplina, excetuando as horas de aula?</v>
      </c>
    </row>
    <row r="314" spans="3:5" x14ac:dyDescent="0.25">
      <c r="C314" s="66" t="str">
        <f>$A$24</f>
        <v>5-ÓTIMO</v>
      </c>
      <c r="D314" s="141">
        <f>(COUNTIF('D3'!U$2:U$6,5)+COUNTIF('D4'!U$2:U$5,5)+COUNTIF('D5'!U$2:U$3,5)+COUNTIF('D6'!U$2:U$6,5)+COUNTIF('D7'!U$2:U$6,5)+COUNTIF('D8'!U$2:U$6,5)+COUNTIF('D9'!U$2:U$9,5)+COUNTIF('D10'!U$2:U$7,5)+COUNTIF('D11'!U$2:U$3,5)+COUNTIF('D12'!U$2:U$4,5)+COUNTIF('D13'!U$2:U$17,5))/$A$20</f>
        <v>0.27586206896551724</v>
      </c>
    </row>
    <row r="315" spans="3:5" x14ac:dyDescent="0.25">
      <c r="C315" s="67" t="str">
        <f>$A$25</f>
        <v>4-MUITO BOM</v>
      </c>
      <c r="D315" s="141">
        <f>(COUNTIF('D3'!U$2:U$6,4)+COUNTIF('D4'!U$2:U$5,4)+COUNTIF('D5'!U$2:U$3,4)+COUNTIF('D6'!U$2:U$6,4)+COUNTIF('D7'!U$2:U$6,4)+COUNTIF('D8'!U$2:U$6,4)+COUNTIF('D9'!U$2:U$9,4)+COUNTIF('D10'!U$2:U$7,4)+COUNTIF('D11'!U$2:U$3,4)+COUNTIF('D12'!U$2:U$4,4)+COUNTIF('D13'!U$2:U$17,4))/$A$20</f>
        <v>0.43103448275862066</v>
      </c>
    </row>
    <row r="316" spans="3:5" x14ac:dyDescent="0.25">
      <c r="C316" s="67" t="str">
        <f>$A$26</f>
        <v>3-BOM</v>
      </c>
      <c r="D316" s="141">
        <f>(COUNTIF('D3'!U$2:U$6,3)+COUNTIF('D4'!U$2:U$5,3)+COUNTIF('D5'!U$2:U$3,3)+COUNTIF('D6'!U$2:U$6,3)+COUNTIF('D7'!U$2:U$6,3)+COUNTIF('D8'!U$2:U$6,3)+COUNTIF('D9'!U$2:U$9,3)+COUNTIF('D10'!U$2:U$7,3)+COUNTIF('D11'!U$2:U$3,3)+COUNTIF('D12'!U$2:U$4,3)+COUNTIF('D13'!U$2:U$17,3))/$A$20</f>
        <v>0.10344827586206896</v>
      </c>
    </row>
    <row r="317" spans="3:5" x14ac:dyDescent="0.25">
      <c r="C317" s="67" t="str">
        <f>$A$27</f>
        <v>2-REGULAR</v>
      </c>
      <c r="D317" s="141">
        <f>(COUNTIF('D3'!U$2:U$6,2)+COUNTIF('D4'!U$2:U$5,2)+COUNTIF('D5'!U$2:U$3,2)+COUNTIF('D6'!U$2:U$6,2)+COUNTIF('D7'!U$2:U$6,2)+COUNTIF('D8'!U$2:U$6,2)+COUNTIF('D9'!U$2:U$9,2)+COUNTIF('D10'!U$2:U$7,2)+COUNTIF('D11'!U$2:U$3,2)+COUNTIF('D12'!U$2:U$4,2)+COUNTIF('D13'!U$2:U$17,2))/$A$20</f>
        <v>0</v>
      </c>
    </row>
    <row r="318" spans="3:5" x14ac:dyDescent="0.25">
      <c r="C318" s="67" t="str">
        <f>$A$28</f>
        <v>1-RUIM</v>
      </c>
      <c r="D318" s="141">
        <f>(COUNTIF('D3'!U$2:U$6,1)+COUNTIF('D4'!U$2:U$5,1)+COUNTIF('D5'!U$2:U$3,1)+COUNTIF('D6'!U$2:U$6,1)+COUNTIF('D7'!U$2:U$6,1)+COUNTIF('D8'!U$2:U$6,1)+COUNTIF('D9'!U$2:U$9,1)+COUNTIF('D10'!U$2:U$7,1)+COUNTIF('D11'!U$2:U$3,1)+COUNTIF('D12'!U$2:U$4,1)+COUNTIF('D13'!U$2:U$17,1))/$A$20</f>
        <v>1.7241379310344827E-2</v>
      </c>
    </row>
    <row r="319" spans="3:5" x14ac:dyDescent="0.25">
      <c r="C319" s="68" t="str">
        <f>$A$29</f>
        <v>0-NÃO SE APLICA</v>
      </c>
      <c r="D319" s="141">
        <f>(COUNTIF('D3'!U$2:U$6,0)+COUNTIF('D4'!U$2:U$5,0)+COUNTIF('D5'!U$2:U$3,0)+COUNTIF('D6'!U$2:U$6,0)+COUNTIF('D7'!U$2:U$6,0)+COUNTIF('D8'!U$2:U$6,0)+COUNTIF('D9'!U$2:U$9,0)+COUNTIF('D10'!U$2:U$7,0)+COUNTIF('D11'!U$2:U$3,0)+COUNTIF('D12'!U$2:U$4,0)+COUNTIF('D13'!U$2:U$17,0))/$A$20</f>
        <v>0.17241379310344829</v>
      </c>
    </row>
    <row r="320" spans="3:5" ht="15.6" x14ac:dyDescent="0.3">
      <c r="C320" s="12"/>
    </row>
    <row r="321" spans="3:5" ht="15.6" x14ac:dyDescent="0.3">
      <c r="C321" s="79"/>
      <c r="D321" s="113" t="str">
        <f>D312</f>
        <v>questão 19</v>
      </c>
    </row>
    <row r="322" spans="3:5" ht="15.6" x14ac:dyDescent="0.3">
      <c r="C322" s="121" t="str">
        <f>'Dashboard-1-AVALIAÇÃO INST.'!$A$29</f>
        <v>MUITO BOM / ÓTIMO</v>
      </c>
      <c r="D322" s="99">
        <f>D314+D315</f>
        <v>0.7068965517241379</v>
      </c>
    </row>
    <row r="323" spans="3:5" ht="15.6" x14ac:dyDescent="0.3">
      <c r="C323" s="122" t="str">
        <f>'Dashboard-1-AVALIAÇÃO INST.'!$A$30</f>
        <v>BOM</v>
      </c>
      <c r="D323" s="101">
        <f>D316</f>
        <v>0.10344827586206896</v>
      </c>
    </row>
    <row r="324" spans="3:5" ht="15.6" x14ac:dyDescent="0.3">
      <c r="C324" s="122" t="str">
        <f>'Dashboard-1-AVALIAÇÃO INST.'!$A$31</f>
        <v>RUIM / REGULAR</v>
      </c>
      <c r="D324" s="101">
        <f>D317+D318</f>
        <v>1.7241379310344827E-2</v>
      </c>
    </row>
    <row r="325" spans="3:5" ht="15.6" x14ac:dyDescent="0.3">
      <c r="C325" s="123" t="str">
        <f>'Dashboard-1-AVALIAÇÃO INST.'!$A$32</f>
        <v>NÃO SE APLICA / NÃO SEI</v>
      </c>
      <c r="D325" s="103">
        <f>D319</f>
        <v>0.17241379310344829</v>
      </c>
    </row>
    <row r="326" spans="3:5" x14ac:dyDescent="0.25">
      <c r="C326" s="105">
        <f>(SUM(D322:D325))</f>
        <v>1</v>
      </c>
      <c r="D326" s="106" t="str">
        <f>IF(C326=100%, "CORRETO","ERRO")</f>
        <v>CORRETO</v>
      </c>
    </row>
    <row r="332" spans="3:5" ht="15.6" x14ac:dyDescent="0.3">
      <c r="D332" s="42" t="str">
        <f>'D3'!V19</f>
        <v>questão 20</v>
      </c>
      <c r="E332" s="12" t="str">
        <f>'D3'!V1</f>
        <v>20- Você foi assíduo(a) e pontual em relação às aulas desta disciplina ?</v>
      </c>
    </row>
    <row r="334" spans="3:5" x14ac:dyDescent="0.25">
      <c r="C334" s="66" t="str">
        <f>$A$24</f>
        <v>5-ÓTIMO</v>
      </c>
      <c r="D334" s="141">
        <f>(COUNTIF('D3'!V$2:V$6,5)+COUNTIF('D4'!V$2:V$5,5)+COUNTIF('D5'!V$2:V$3,5)+COUNTIF('D6'!V$2:V$6,5)+COUNTIF('D7'!V$2:V$6,5)+COUNTIF('D8'!V$2:V$6,5)+COUNTIF('D9'!V$2:V$9,5)+COUNTIF('D10'!V$2:V$7,5)+COUNTIF('D11'!V$2:V$3,5)+COUNTIF('D12'!V$2:V$4,5)+COUNTIF('D13'!V$2:V$17,5))/$A$20</f>
        <v>0.63793103448275867</v>
      </c>
    </row>
    <row r="335" spans="3:5" x14ac:dyDescent="0.25">
      <c r="C335" s="67" t="str">
        <f>$A$25</f>
        <v>4-MUITO BOM</v>
      </c>
      <c r="D335" s="141">
        <f>(COUNTIF('D3'!V$2:V$6,4)+COUNTIF('D4'!V$2:V$5,4)+COUNTIF('D5'!V$2:V$3,4)+COUNTIF('D6'!V$2:V$6,4)+COUNTIF('D7'!V$2:V$6,4)+COUNTIF('D8'!V$2:V$6,4)+COUNTIF('D9'!V$2:V$9,4)+COUNTIF('D10'!V$2:V$7,4)+COUNTIF('D11'!V$2:V$3,4)+COUNTIF('D12'!V$2:V$4,4)+COUNTIF('D13'!V$2:V$17,4))/$A$20</f>
        <v>0.17241379310344829</v>
      </c>
    </row>
    <row r="336" spans="3:5" x14ac:dyDescent="0.25">
      <c r="C336" s="67" t="str">
        <f>$A$26</f>
        <v>3-BOM</v>
      </c>
      <c r="D336" s="141">
        <f>(COUNTIF('D3'!V$2:V$6,3)+COUNTIF('D4'!V$2:V$5,3)+COUNTIF('D5'!V$2:V$3,3)+COUNTIF('D6'!V$2:V$6,3)+COUNTIF('D7'!V$2:V$6,3)+COUNTIF('D8'!V$2:V$6,3)+COUNTIF('D9'!V$2:V$9,3)+COUNTIF('D10'!V$2:V$7,3)+COUNTIF('D11'!V$2:V$3,3)+COUNTIF('D12'!V$2:V$4,3)+COUNTIF('D13'!V$2:V$17,3))/$A$20</f>
        <v>1.7241379310344827E-2</v>
      </c>
    </row>
    <row r="337" spans="3:5" x14ac:dyDescent="0.25">
      <c r="C337" s="67" t="str">
        <f>$A$27</f>
        <v>2-REGULAR</v>
      </c>
      <c r="D337" s="141">
        <f>(COUNTIF('D3'!V$2:V$6,2)+COUNTIF('D4'!V$2:V$5,2)+COUNTIF('D5'!V$2:V$3,2)+COUNTIF('D6'!V$2:V$6,2)+COUNTIF('D7'!V$2:V$6,2)+COUNTIF('D8'!V$2:V$6,2)+COUNTIF('D9'!V$2:V$9,2)+COUNTIF('D10'!V$2:V$7,2)+COUNTIF('D11'!V$2:V$3,2)+COUNTIF('D12'!V$2:V$4,2)+COUNTIF('D13'!V$2:V$17,2))/$A$20</f>
        <v>1.7241379310344827E-2</v>
      </c>
    </row>
    <row r="338" spans="3:5" x14ac:dyDescent="0.25">
      <c r="C338" s="67" t="str">
        <f>$A$28</f>
        <v>1-RUIM</v>
      </c>
      <c r="D338" s="141">
        <f>(COUNTIF('D3'!V$2:V$6,1)+COUNTIF('D4'!V$2:V$5,1)+COUNTIF('D5'!V$2:V$3,1)+COUNTIF('D6'!V$2:V$6,1)+COUNTIF('D7'!V$2:V$6,1)+COUNTIF('D8'!V$2:V$6,1)+COUNTIF('D9'!V$2:V$9,1)+COUNTIF('D10'!V$2:V$7,1)+COUNTIF('D11'!V$2:V$3,1)+COUNTIF('D12'!V$2:V$4,1)+COUNTIF('D13'!V$2:V$17,1))/$A$20</f>
        <v>0</v>
      </c>
    </row>
    <row r="339" spans="3:5" x14ac:dyDescent="0.25">
      <c r="C339" s="68" t="str">
        <f>$A$29</f>
        <v>0-NÃO SE APLICA</v>
      </c>
      <c r="D339" s="141">
        <f>(COUNTIF('D3'!V$2:V$6,0)+COUNTIF('D4'!V$2:V$5,0)+COUNTIF('D5'!V$2:V$3,0)+COUNTIF('D6'!V$2:V$6,0)+COUNTIF('D7'!V$2:V$6,0)+COUNTIF('D8'!V$2:V$6,0)+COUNTIF('D9'!V$2:V$9,0)+COUNTIF('D10'!V$2:V$7,0)+COUNTIF('D11'!V$2:V$3,0)+COUNTIF('D12'!V$2:V$4,0)+COUNTIF('D13'!V$2:V$17,0))/$A$20</f>
        <v>0.15517241379310345</v>
      </c>
    </row>
    <row r="340" spans="3:5" ht="15.6" x14ac:dyDescent="0.3">
      <c r="C340" s="12"/>
    </row>
    <row r="341" spans="3:5" ht="15.6" x14ac:dyDescent="0.3">
      <c r="C341" s="79"/>
      <c r="D341" s="113" t="str">
        <f>D332</f>
        <v>questão 20</v>
      </c>
    </row>
    <row r="342" spans="3:5" ht="15.6" x14ac:dyDescent="0.3">
      <c r="C342" s="121" t="str">
        <f>'Dashboard-1-AVALIAÇÃO INST.'!$A$29</f>
        <v>MUITO BOM / ÓTIMO</v>
      </c>
      <c r="D342" s="99">
        <f>D334+D335</f>
        <v>0.81034482758620696</v>
      </c>
    </row>
    <row r="343" spans="3:5" ht="15.6" x14ac:dyDescent="0.3">
      <c r="C343" s="122" t="str">
        <f>'Dashboard-1-AVALIAÇÃO INST.'!$A$30</f>
        <v>BOM</v>
      </c>
      <c r="D343" s="101">
        <f>D336</f>
        <v>1.7241379310344827E-2</v>
      </c>
    </row>
    <row r="344" spans="3:5" ht="15.6" x14ac:dyDescent="0.3">
      <c r="C344" s="122" t="str">
        <f>'Dashboard-1-AVALIAÇÃO INST.'!$A$31</f>
        <v>RUIM / REGULAR</v>
      </c>
      <c r="D344" s="101">
        <f>D337+D338</f>
        <v>1.7241379310344827E-2</v>
      </c>
    </row>
    <row r="345" spans="3:5" ht="15.6" x14ac:dyDescent="0.3">
      <c r="C345" s="123" t="str">
        <f>'Dashboard-1-AVALIAÇÃO INST.'!$A$32</f>
        <v>NÃO SE APLICA / NÃO SEI</v>
      </c>
      <c r="D345" s="103">
        <f>D339</f>
        <v>0.15517241379310345</v>
      </c>
    </row>
    <row r="346" spans="3:5" x14ac:dyDescent="0.25">
      <c r="C346" s="105">
        <f>(SUM(D342:D345))</f>
        <v>1.0000000000000002</v>
      </c>
      <c r="D346" s="106" t="str">
        <f>IF(C346=100%, "CORRETO","ERRO")</f>
        <v>CORRETO</v>
      </c>
    </row>
    <row r="351" spans="3:5" ht="15.6" x14ac:dyDescent="0.3">
      <c r="D351" s="42" t="str">
        <f>'D3'!W19</f>
        <v>questão 21</v>
      </c>
      <c r="E351" s="12" t="str">
        <f>'D3'!W1</f>
        <v>21- Utilizou seu conhecimento anterior para acompanhar a disciplina ?</v>
      </c>
    </row>
    <row r="353" spans="3:4" x14ac:dyDescent="0.25">
      <c r="C353" s="66" t="str">
        <f>$A$24</f>
        <v>5-ÓTIMO</v>
      </c>
      <c r="D353" s="141">
        <f>(COUNTIF('D3'!W$2:W$6,5)+COUNTIF('D4'!W$2:W$5,5)+COUNTIF('D5'!W$2:W$3,5)+COUNTIF('D6'!W$2:W$6,5)+COUNTIF('D7'!W$2:W$6,5)+COUNTIF('D8'!W$2:W$6,5)+COUNTIF('D9'!W$2:W$9,5)+COUNTIF('D10'!W$2:W$7,5)+COUNTIF('D11'!W$2:W$3,5)+COUNTIF('D12'!W$2:W$4,5)+COUNTIF('D13'!W$2:W$17,5))/$A$20</f>
        <v>0.63793103448275867</v>
      </c>
    </row>
    <row r="354" spans="3:4" x14ac:dyDescent="0.25">
      <c r="C354" s="67" t="str">
        <f>$A$25</f>
        <v>4-MUITO BOM</v>
      </c>
      <c r="D354" s="141">
        <f>(COUNTIF('D3'!W$2:W$6,4)+COUNTIF('D4'!W$2:W$5,4)+COUNTIF('D5'!W$2:W$3,4)+COUNTIF('D6'!W$2:W$6,4)+COUNTIF('D7'!W$2:W$6,4)+COUNTIF('D8'!W$2:W$6,4)+COUNTIF('D9'!W$2:W$9,4)+COUNTIF('D10'!W$2:W$7,4)+COUNTIF('D11'!W$2:W$3,4)+COUNTIF('D12'!W$2:W$4,4)+COUNTIF('D13'!W$2:W$17,4))/$A$20</f>
        <v>0.1206896551724138</v>
      </c>
    </row>
    <row r="355" spans="3:4" x14ac:dyDescent="0.25">
      <c r="C355" s="67" t="str">
        <f>$A$26</f>
        <v>3-BOM</v>
      </c>
      <c r="D355" s="141">
        <f>(COUNTIF('D3'!W$2:W$6,3)+COUNTIF('D4'!W$2:W$5,3)+COUNTIF('D5'!W$2:W$3,3)+COUNTIF('D6'!W$2:W$6,3)+COUNTIF('D7'!W$2:W$6,3)+COUNTIF('D8'!W$2:W$6,3)+COUNTIF('D9'!W$2:W$9,3)+COUNTIF('D10'!W$2:W$7,3)+COUNTIF('D11'!W$2:W$3,3)+COUNTIF('D12'!W$2:W$4,3)+COUNTIF('D13'!W$2:W$17,3))/$A$20</f>
        <v>6.8965517241379309E-2</v>
      </c>
    </row>
    <row r="356" spans="3:4" x14ac:dyDescent="0.25">
      <c r="C356" s="67" t="str">
        <f>$A$27</f>
        <v>2-REGULAR</v>
      </c>
      <c r="D356" s="141">
        <f>(COUNTIF('D3'!W$2:W$6,2)+COUNTIF('D4'!W$2:W$5,2)+COUNTIF('D5'!W$2:W$3,2)+COUNTIF('D6'!W$2:W$6,2)+COUNTIF('D7'!W$2:W$6,2)+COUNTIF('D8'!W$2:W$6,2)+COUNTIF('D9'!W$2:W$9,2)+COUNTIF('D10'!W$2:W$7,2)+COUNTIF('D11'!W$2:W$3,2)+COUNTIF('D12'!W$2:W$4,2)+COUNTIF('D13'!W$2:W$17,2))/$A$20</f>
        <v>0</v>
      </c>
    </row>
    <row r="357" spans="3:4" x14ac:dyDescent="0.25">
      <c r="C357" s="67" t="str">
        <f>$A$28</f>
        <v>1-RUIM</v>
      </c>
      <c r="D357" s="141">
        <f>(COUNTIF('D3'!W$2:W$6,1)+COUNTIF('D4'!W$2:W$5,1)+COUNTIF('D5'!W$2:W$3,1)+COUNTIF('D6'!W$2:W$6,1)+COUNTIF('D7'!W$2:W$6,1)+COUNTIF('D8'!W$2:W$6,1)+COUNTIF('D9'!W$2:W$9,1)+COUNTIF('D10'!W$2:W$7,1)+COUNTIF('D11'!W$2:W$3,1)+COUNTIF('D12'!W$2:W$4,1)+COUNTIF('D13'!W$2:W$17,1))/$A$20</f>
        <v>0</v>
      </c>
    </row>
    <row r="358" spans="3:4" x14ac:dyDescent="0.25">
      <c r="C358" s="68" t="str">
        <f>$A$29</f>
        <v>0-NÃO SE APLICA</v>
      </c>
      <c r="D358" s="141">
        <f>(COUNTIF('D3'!W$2:W$6,0)+COUNTIF('D4'!W$2:W$5,0)+COUNTIF('D5'!W$2:W$3,0)+COUNTIF('D6'!W$2:W$6,0)+COUNTIF('D7'!W$2:W$6,0)+COUNTIF('D8'!W$2:W$6,0)+COUNTIF('D9'!W$2:W$9,0)+COUNTIF('D10'!W$2:W$7,0)+COUNTIF('D11'!W$2:W$3,0)+COUNTIF('D12'!W$2:W$4,0)+COUNTIF('D13'!W$2:W$17,0))/$A$20</f>
        <v>0.17241379310344829</v>
      </c>
    </row>
    <row r="359" spans="3:4" ht="15.6" x14ac:dyDescent="0.3">
      <c r="C359" s="12"/>
    </row>
    <row r="360" spans="3:4" ht="15.6" x14ac:dyDescent="0.3">
      <c r="C360" s="79"/>
      <c r="D360" s="113" t="str">
        <f>D351</f>
        <v>questão 21</v>
      </c>
    </row>
    <row r="361" spans="3:4" ht="15.6" x14ac:dyDescent="0.3">
      <c r="C361" s="121" t="str">
        <f>'Dashboard-1-AVALIAÇÃO INST.'!$A$29</f>
        <v>MUITO BOM / ÓTIMO</v>
      </c>
      <c r="D361" s="99">
        <f>D353+D354</f>
        <v>0.75862068965517249</v>
      </c>
    </row>
    <row r="362" spans="3:4" ht="15.6" x14ac:dyDescent="0.3">
      <c r="C362" s="122" t="str">
        <f>'Dashboard-1-AVALIAÇÃO INST.'!$A$30</f>
        <v>BOM</v>
      </c>
      <c r="D362" s="101">
        <f>D355</f>
        <v>6.8965517241379309E-2</v>
      </c>
    </row>
    <row r="363" spans="3:4" ht="15.6" x14ac:dyDescent="0.3">
      <c r="C363" s="122" t="str">
        <f>'Dashboard-1-AVALIAÇÃO INST.'!$A$31</f>
        <v>RUIM / REGULAR</v>
      </c>
      <c r="D363" s="101">
        <f>D356+D357</f>
        <v>0</v>
      </c>
    </row>
    <row r="364" spans="3:4" ht="15.6" x14ac:dyDescent="0.3">
      <c r="C364" s="123" t="str">
        <f>'Dashboard-1-AVALIAÇÃO INST.'!$A$32</f>
        <v>NÃO SE APLICA / NÃO SEI</v>
      </c>
      <c r="D364" s="103">
        <f>D358</f>
        <v>0.17241379310344829</v>
      </c>
    </row>
    <row r="365" spans="3:4" x14ac:dyDescent="0.25">
      <c r="C365" s="105">
        <f>(SUM(D361:D364))</f>
        <v>1</v>
      </c>
      <c r="D365" s="106" t="str">
        <f>IF(C365=100%, "CORRETO","ERRO")</f>
        <v>CORRETO</v>
      </c>
    </row>
    <row r="370" spans="3:5" ht="15.6" x14ac:dyDescent="0.3">
      <c r="D370" s="42" t="str">
        <f>'D3'!X19</f>
        <v>questão 22</v>
      </c>
      <c r="E370" s="12" t="str">
        <f>'D3'!X1</f>
        <v>22- Encontrou algum grau de dificuldade na disciplina ?</v>
      </c>
    </row>
    <row r="372" spans="3:5" x14ac:dyDescent="0.25">
      <c r="C372" s="66" t="str">
        <f>$A$24</f>
        <v>5-ÓTIMO</v>
      </c>
      <c r="D372" s="141">
        <f>(COUNTIF('D3'!X$2:X$6,5)+COUNTIF('D4'!X$2:X$5,5)+COUNTIF('D5'!X$2:X$3,5)+COUNTIF('D6'!X$2:X$6,5)+COUNTIF('D7'!X$2:X$6,5)+COUNTIF('D8'!X$2:X$6,5)+COUNTIF('D9'!X$2:X$9,5)+COUNTIF('D10'!X$2:X$7,5)+COUNTIF('D11'!X$2:X$3,5)+COUNTIF('D12'!X$2:X$4,5)+COUNTIF('D13'!X$2:X$17,5))/$A$20</f>
        <v>0.13793103448275862</v>
      </c>
    </row>
    <row r="373" spans="3:5" x14ac:dyDescent="0.25">
      <c r="C373" s="67" t="str">
        <f>$A$25</f>
        <v>4-MUITO BOM</v>
      </c>
      <c r="D373" s="141">
        <f>(COUNTIF('D3'!X$2:X$6,4)+COUNTIF('D4'!X$2:X$5,4)+COUNTIF('D5'!X$2:X$3,4)+COUNTIF('D6'!X$2:X$6,4)+COUNTIF('D7'!X$2:X$6,4)+COUNTIF('D8'!X$2:X$6,4)+COUNTIF('D9'!X$2:X$9,4)+COUNTIF('D10'!X$2:X$7,4)+COUNTIF('D11'!X$2:X$3,4)+COUNTIF('D12'!X$2:X$4,4)+COUNTIF('D13'!X$2:X$17,4))/$A$20</f>
        <v>0.2413793103448276</v>
      </c>
    </row>
    <row r="374" spans="3:5" x14ac:dyDescent="0.25">
      <c r="C374" s="67" t="str">
        <f>$A$26</f>
        <v>3-BOM</v>
      </c>
      <c r="D374" s="141">
        <f>(COUNTIF('D3'!X$2:X$6,3)+COUNTIF('D4'!X$2:X$5,3)+COUNTIF('D5'!X$2:X$3,3)+COUNTIF('D6'!X$2:X$6,3)+COUNTIF('D7'!X$2:X$6,3)+COUNTIF('D8'!X$2:X$6,3)+COUNTIF('D9'!X$2:X$9,3)+COUNTIF('D10'!X$2:X$7,3)+COUNTIF('D11'!X$2:X$3,3)+COUNTIF('D12'!X$2:X$4,3)+COUNTIF('D13'!X$2:X$17,3))/$A$20</f>
        <v>0.22413793103448276</v>
      </c>
    </row>
    <row r="375" spans="3:5" x14ac:dyDescent="0.25">
      <c r="C375" s="67" t="str">
        <f>$A$27</f>
        <v>2-REGULAR</v>
      </c>
      <c r="D375" s="141">
        <f>(COUNTIF('D3'!X$2:X$6,2)+COUNTIF('D4'!X$2:X$5,2)+COUNTIF('D5'!X$2:X$3,2)+COUNTIF('D6'!X$2:X$6,2)+COUNTIF('D7'!X$2:X$6,2)+COUNTIF('D8'!X$2:X$6,2)+COUNTIF('D9'!X$2:X$9,2)+COUNTIF('D10'!X$2:X$7,2)+COUNTIF('D11'!X$2:X$3,2)+COUNTIF('D12'!X$2:X$4,2)+COUNTIF('D13'!X$2:X$17,2))/$A$20</f>
        <v>0.17241379310344829</v>
      </c>
    </row>
    <row r="376" spans="3:5" x14ac:dyDescent="0.25">
      <c r="C376" s="67" t="str">
        <f>$A$28</f>
        <v>1-RUIM</v>
      </c>
      <c r="D376" s="141">
        <f>(COUNTIF('D3'!X$2:X$6,1)+COUNTIF('D4'!X$2:X$5,1)+COUNTIF('D5'!X$2:X$3,1)+COUNTIF('D6'!X$2:X$6,1)+COUNTIF('D7'!X$2:X$6,1)+COUNTIF('D8'!X$2:X$6,1)+COUNTIF('D9'!X$2:X$9,1)+COUNTIF('D10'!X$2:X$7,1)+COUNTIF('D11'!X$2:X$3,1)+COUNTIF('D12'!X$2:X$4,1)+COUNTIF('D13'!X$2:X$17,1))/$A$20</f>
        <v>3.4482758620689655E-2</v>
      </c>
    </row>
    <row r="377" spans="3:5" x14ac:dyDescent="0.25">
      <c r="C377" s="68" t="str">
        <f>$A$29</f>
        <v>0-NÃO SE APLICA</v>
      </c>
      <c r="D377" s="141">
        <f>(COUNTIF('D3'!X$2:X$6,0)+COUNTIF('D4'!X$2:X$5,0)+COUNTIF('D5'!X$2:X$3,0)+COUNTIF('D6'!X$2:X$6,0)+COUNTIF('D7'!X$2:X$6,0)+COUNTIF('D8'!X$2:X$6,0)+COUNTIF('D9'!X$2:X$9,0)+COUNTIF('D10'!X$2:X$7,0)+COUNTIF('D11'!X$2:X$3,0)+COUNTIF('D12'!X$2:X$4,0)+COUNTIF('D13'!X$2:X$17,0))/$A$20</f>
        <v>0.18965517241379309</v>
      </c>
    </row>
    <row r="378" spans="3:5" ht="15.6" x14ac:dyDescent="0.3">
      <c r="C378" s="12"/>
    </row>
    <row r="379" spans="3:5" ht="15.6" x14ac:dyDescent="0.3">
      <c r="C379" s="79"/>
      <c r="D379" s="113" t="str">
        <f>D370</f>
        <v>questão 22</v>
      </c>
    </row>
    <row r="380" spans="3:5" ht="15.6" x14ac:dyDescent="0.3">
      <c r="C380" s="121" t="str">
        <f>'Dashboard-1-AVALIAÇÃO INST.'!$A$29</f>
        <v>MUITO BOM / ÓTIMO</v>
      </c>
      <c r="D380" s="99">
        <f>D372+D373</f>
        <v>0.37931034482758619</v>
      </c>
    </row>
    <row r="381" spans="3:5" ht="15.6" x14ac:dyDescent="0.3">
      <c r="C381" s="122" t="str">
        <f>'Dashboard-1-AVALIAÇÃO INST.'!$A$30</f>
        <v>BOM</v>
      </c>
      <c r="D381" s="101">
        <f>D374</f>
        <v>0.22413793103448276</v>
      </c>
    </row>
    <row r="382" spans="3:5" ht="15.6" x14ac:dyDescent="0.3">
      <c r="C382" s="122" t="str">
        <f>'Dashboard-1-AVALIAÇÃO INST.'!$A$31</f>
        <v>RUIM / REGULAR</v>
      </c>
      <c r="D382" s="101">
        <f>D375+D376</f>
        <v>0.20689655172413796</v>
      </c>
    </row>
    <row r="383" spans="3:5" ht="15.6" x14ac:dyDescent="0.3">
      <c r="C383" s="123" t="str">
        <f>'Dashboard-1-AVALIAÇÃO INST.'!$A$32</f>
        <v>NÃO SE APLICA / NÃO SEI</v>
      </c>
      <c r="D383" s="103">
        <f>D377</f>
        <v>0.18965517241379309</v>
      </c>
    </row>
    <row r="384" spans="3:5" x14ac:dyDescent="0.25">
      <c r="C384" s="105">
        <f>(SUM(D380:D383))</f>
        <v>1</v>
      </c>
      <c r="D384" s="106" t="str">
        <f>IF(C384=100%, "CORRETO","ERRO")</f>
        <v>CORRETO</v>
      </c>
    </row>
    <row r="389" spans="3:5" ht="15.6" x14ac:dyDescent="0.3">
      <c r="D389" s="42" t="str">
        <f>'D3'!Y19</f>
        <v>questão 23</v>
      </c>
      <c r="E389" s="12" t="str">
        <f>'D3'!Y1</f>
        <v>23- Participou ativamente das aulas da disciplina, estando atento às explicações do professor e contribuindo na dinâmica da aula ?</v>
      </c>
    </row>
    <row r="391" spans="3:5" x14ac:dyDescent="0.25">
      <c r="C391" s="130" t="s">
        <v>240</v>
      </c>
      <c r="D391" s="141">
        <f>(COUNTIF('D3'!Y$2:Y$6,5)+COUNTIF('D4'!Y$2:Y$5,5)+COUNTIF('D5'!Y$2:Y$3,5)+COUNTIF('D6'!Y$2:Y$6,5)+COUNTIF('D7'!Y$2:Y$6,5)+COUNTIF('D8'!Y$2:Y$6,5)+COUNTIF('D9'!Y$2:Y$9,5)+COUNTIF('D10'!Y$2:Y$7,5)+COUNTIF('D11'!Y$2:Y$3,5)+COUNTIF('D12'!Y$2:Y$4,5)+COUNTIF('D13'!Y$2:Y$17,5))/$A$20</f>
        <v>0.31034482758620691</v>
      </c>
    </row>
    <row r="392" spans="3:5" x14ac:dyDescent="0.25">
      <c r="C392" s="131" t="s">
        <v>215</v>
      </c>
      <c r="D392" s="141">
        <f>(COUNTIF('D3'!Y$2:Y$6,4)+COUNTIF('D4'!Y$2:Y$5,4)+COUNTIF('D5'!Y$2:Y$3,4)+COUNTIF('D6'!Y$2:Y$6,4)+COUNTIF('D7'!Y$2:Y$6,4)+COUNTIF('D8'!Y$2:Y$6,4)+COUNTIF('D9'!Y$2:Y$9,4)+COUNTIF('D10'!Y$2:Y$7,4)+COUNTIF('D11'!Y$2:Y$3,4)+COUNTIF('D12'!Y$2:Y$4,4)+COUNTIF('D13'!Y$2:Y$17,4))/$A$20</f>
        <v>0.29310344827586204</v>
      </c>
    </row>
    <row r="393" spans="3:5" x14ac:dyDescent="0.25">
      <c r="C393" s="131" t="s">
        <v>214</v>
      </c>
      <c r="D393" s="141">
        <f>(COUNTIF('D3'!Y$2:Y$6,3)+COUNTIF('D4'!Y$2:Y$5,3)+COUNTIF('D5'!Y$2:Y$3,3)+COUNTIF('D6'!Y$2:Y$6,3)+COUNTIF('D7'!Y$2:Y$6,3)+COUNTIF('D8'!Y$2:Y$6,3)+COUNTIF('D9'!Y$2:Y$9,3)+COUNTIF('D10'!Y$2:Y$7,3)+COUNTIF('D11'!Y$2:Y$3,3)+COUNTIF('D12'!Y$2:Y$4,3)+COUNTIF('D13'!Y$2:Y$17,3))/$A$20</f>
        <v>0.17241379310344829</v>
      </c>
    </row>
    <row r="394" spans="3:5" x14ac:dyDescent="0.25">
      <c r="C394" s="131" t="s">
        <v>241</v>
      </c>
      <c r="D394" s="141">
        <f>(COUNTIF('D3'!Y$2:Y$6,2)+COUNTIF('D4'!Y$2:Y$5,2)+COUNTIF('D5'!Y$2:Y$3,2)+COUNTIF('D6'!Y$2:Y$6,2)+COUNTIF('D7'!Y$2:Y$6,2)+COUNTIF('D8'!Y$2:Y$6,2)+COUNTIF('D9'!Y$2:Y$9,2)+COUNTIF('D10'!Y$2:Y$7,2)+COUNTIF('D11'!Y$2:Y$3,2)+COUNTIF('D12'!Y$2:Y$4,2)+COUNTIF('D13'!Y$2:Y$17,2))/$A$20</f>
        <v>3.4482758620689655E-2</v>
      </c>
    </row>
    <row r="395" spans="3:5" x14ac:dyDescent="0.25">
      <c r="C395" s="131" t="s">
        <v>213</v>
      </c>
      <c r="D395" s="141">
        <f>(COUNTIF('D3'!Y$2:Y$6,1)+COUNTIF('D4'!Y$2:Y$5,1)+COUNTIF('D5'!Y$2:Y$3,1)+COUNTIF('D6'!Y$2:Y$6,1)+COUNTIF('D7'!Y$2:Y$6,1)+COUNTIF('D8'!Y$2:Y$6,1)+COUNTIF('D9'!Y$2:Y$9,1)+COUNTIF('D10'!Y$2:Y$7,1)+COUNTIF('D11'!Y$2:Y$3,1)+COUNTIF('D12'!Y$2:Y$4,1)+COUNTIF('D13'!Y$2:Y$17,1))/$A$20</f>
        <v>0</v>
      </c>
    </row>
    <row r="396" spans="3:5" x14ac:dyDescent="0.25">
      <c r="C396" s="132" t="s">
        <v>212</v>
      </c>
      <c r="D396" s="141">
        <f>(COUNTIF('D3'!Y$2:Y$6,0)+COUNTIF('D4'!Y$2:Y$5,0)+COUNTIF('D5'!Y$2:Y$3,0)+COUNTIF('D6'!Y$2:Y$6,0)+COUNTIF('D7'!Y$2:Y$6,0)+COUNTIF('D8'!Y$2:Y$6,0)+COUNTIF('D9'!Y$2:Y$9,0)+COUNTIF('D10'!Y$2:Y$7,0)+COUNTIF('D11'!Y$2:Y$3,0)+COUNTIF('D12'!Y$2:Y$4,0)+COUNTIF('D13'!Y$2:Y$17,0))/$A$20</f>
        <v>0.18965517241379309</v>
      </c>
    </row>
    <row r="397" spans="3:5" ht="15.6" x14ac:dyDescent="0.3">
      <c r="C397" s="12"/>
    </row>
    <row r="398" spans="3:5" ht="15.6" x14ac:dyDescent="0.3">
      <c r="C398" s="79"/>
      <c r="D398" s="113" t="str">
        <f>D389</f>
        <v>questão 23</v>
      </c>
    </row>
    <row r="399" spans="3:5" ht="15.6" x14ac:dyDescent="0.3">
      <c r="C399" s="121" t="str">
        <f>'Dashboard-1-AVALIAÇÃO INST.'!$A$29</f>
        <v>MUITO BOM / ÓTIMO</v>
      </c>
      <c r="D399" s="99">
        <f>D391+D392</f>
        <v>0.60344827586206895</v>
      </c>
    </row>
    <row r="400" spans="3:5" ht="15.6" x14ac:dyDescent="0.3">
      <c r="C400" s="122" t="str">
        <f>'Dashboard-1-AVALIAÇÃO INST.'!$A$30</f>
        <v>BOM</v>
      </c>
      <c r="D400" s="101">
        <f>D393</f>
        <v>0.17241379310344829</v>
      </c>
    </row>
    <row r="401" spans="3:5" ht="15.6" x14ac:dyDescent="0.3">
      <c r="C401" s="122" t="str">
        <f>'Dashboard-1-AVALIAÇÃO INST.'!$A$31</f>
        <v>RUIM / REGULAR</v>
      </c>
      <c r="D401" s="101">
        <f>D394+D395</f>
        <v>3.4482758620689655E-2</v>
      </c>
    </row>
    <row r="402" spans="3:5" ht="15.6" x14ac:dyDescent="0.3">
      <c r="C402" s="123" t="str">
        <f>'Dashboard-1-AVALIAÇÃO INST.'!$A$32</f>
        <v>NÃO SE APLICA / NÃO SEI</v>
      </c>
      <c r="D402" s="103">
        <f>D396</f>
        <v>0.18965517241379309</v>
      </c>
    </row>
    <row r="403" spans="3:5" x14ac:dyDescent="0.25">
      <c r="C403" s="105">
        <f>(SUM(D399:D402))</f>
        <v>1</v>
      </c>
      <c r="D403" s="106" t="str">
        <f>IF(C403=100%, "CORRETO","ERRO")</f>
        <v>CORRETO</v>
      </c>
    </row>
    <row r="408" spans="3:5" ht="15.6" x14ac:dyDescent="0.3">
      <c r="D408" s="42" t="str">
        <f>'D3'!Z19</f>
        <v>questão 24</v>
      </c>
      <c r="E408" s="12" t="str">
        <f>'D3'!Z1</f>
        <v>24- Você se preparou para as aulas da disciplina, lendo os materiais indicados pelo(s) docente(s), ou aprofundou-se em referenciais de apoio como pesquisas em Internet, biblioteca, etc. ?</v>
      </c>
    </row>
    <row r="410" spans="3:5" x14ac:dyDescent="0.25">
      <c r="C410" s="66" t="str">
        <f>$A$24</f>
        <v>5-ÓTIMO</v>
      </c>
      <c r="D410" s="141">
        <f>(COUNTIF('D3'!Z$2:Z$6,5)+COUNTIF('D4'!Z$2:Z$5,5)+COUNTIF('D5'!Z$2:Z$3,5)+COUNTIF('D6'!Z$2:Z$6,5)+COUNTIF('D7'!Z$2:Z$6,5)+COUNTIF('D8'!Z$2:Z$6,5)+COUNTIF('D9'!Z$2:Z$9,5)+COUNTIF('D10'!Z$2:Z$7,5)+COUNTIF('D11'!Z$2:Z$3,5)+COUNTIF('D12'!Z$2:Z$4,5)+COUNTIF('D13'!Z$2:Z$17,5))/$A$20</f>
        <v>0.2413793103448276</v>
      </c>
    </row>
    <row r="411" spans="3:5" x14ac:dyDescent="0.25">
      <c r="C411" s="67" t="str">
        <f>$A$25</f>
        <v>4-MUITO BOM</v>
      </c>
      <c r="D411" s="141">
        <f>(COUNTIF('D3'!Z$2:Z$6,4)+COUNTIF('D4'!Z$2:Z$5,4)+COUNTIF('D5'!Z$2:Z$3,4)+COUNTIF('D6'!Z$2:Z$6,4)+COUNTIF('D7'!Z$2:Z$6,4)+COUNTIF('D8'!Z$2:Z$6,4)+COUNTIF('D9'!Z$2:Z$9,4)+COUNTIF('D10'!Z$2:Z$7,4)+COUNTIF('D11'!Z$2:Z$3,4)+COUNTIF('D12'!Z$2:Z$4,4)+COUNTIF('D13'!Z$2:Z$17,4))/$A$20</f>
        <v>0.39655172413793105</v>
      </c>
    </row>
    <row r="412" spans="3:5" x14ac:dyDescent="0.25">
      <c r="C412" s="67" t="str">
        <f>$A$26</f>
        <v>3-BOM</v>
      </c>
      <c r="D412" s="141">
        <f>(COUNTIF('D3'!Z$2:Z$6,3)+COUNTIF('D4'!Z$2:Z$5,3)+COUNTIF('D5'!Z$2:Z$3,3)+COUNTIF('D6'!Z$2:Z$6,3)+COUNTIF('D7'!Z$2:Z$6,3)+COUNTIF('D8'!Z$2:Z$6,3)+COUNTIF('D9'!Z$2:Z$9,3)+COUNTIF('D10'!Z$2:Z$7,3)+COUNTIF('D11'!Z$2:Z$3,3)+COUNTIF('D12'!Z$2:Z$4,3)+COUNTIF('D13'!Z$2:Z$17,3))/$A$20</f>
        <v>0.10344827586206896</v>
      </c>
    </row>
    <row r="413" spans="3:5" x14ac:dyDescent="0.25">
      <c r="C413" s="67" t="str">
        <f>$A$27</f>
        <v>2-REGULAR</v>
      </c>
      <c r="D413" s="141">
        <f>(COUNTIF('D3'!Z$2:Z$6,2)+COUNTIF('D4'!Z$2:Z$5,2)+COUNTIF('D5'!Z$2:Z$3,2)+COUNTIF('D6'!Z$2:Z$6,2)+COUNTIF('D7'!Z$2:Z$6,2)+COUNTIF('D8'!Z$2:Z$6,2)+COUNTIF('D9'!Z$2:Z$9,2)+COUNTIF('D10'!Z$2:Z$7,2)+COUNTIF('D11'!Z$2:Z$3,2)+COUNTIF('D12'!Z$2:Z$4,2)+COUNTIF('D13'!Z$2:Z$17,2))/$A$20</f>
        <v>6.8965517241379309E-2</v>
      </c>
    </row>
    <row r="414" spans="3:5" x14ac:dyDescent="0.25">
      <c r="C414" s="67" t="str">
        <f>$A$28</f>
        <v>1-RUIM</v>
      </c>
      <c r="D414" s="141">
        <f>(COUNTIF('D3'!Z$2:Z$6,1)+COUNTIF('D4'!Z$2:Z$5,1)+COUNTIF('D5'!Z$2:Z$3,1)+COUNTIF('D6'!Z$2:Z$6,1)+COUNTIF('D7'!Z$2:Z$6,1)+COUNTIF('D8'!Z$2:Z$6,1)+COUNTIF('D9'!Z$2:Z$9,1)+COUNTIF('D10'!Z$2:Z$7,1)+COUNTIF('D11'!Z$2:Z$3,1)+COUNTIF('D12'!Z$2:Z$4,1)+COUNTIF('D13'!Z$2:Z$17,1))/$A$20</f>
        <v>1.7241379310344827E-2</v>
      </c>
    </row>
    <row r="415" spans="3:5" x14ac:dyDescent="0.25">
      <c r="C415" s="68" t="str">
        <f>$A$29</f>
        <v>0-NÃO SE APLICA</v>
      </c>
      <c r="D415" s="141">
        <f>(COUNTIF('D3'!Z$2:Z$6,0)+COUNTIF('D4'!Z$2:Z$5,0)+COUNTIF('D5'!Z$2:Z$3,0)+COUNTIF('D6'!Z$2:Z$6,0)+COUNTIF('D7'!Z$2:Z$6,0)+COUNTIF('D8'!Z$2:Z$6,0)+COUNTIF('D9'!Z$2:Z$9,0)+COUNTIF('D10'!Z$2:Z$7,0)+COUNTIF('D11'!Z$2:Z$3,0)+COUNTIF('D12'!Z$2:Z$4,0)+COUNTIF('D13'!Z$2:Z$17,0))/$A$20</f>
        <v>0.17241379310344829</v>
      </c>
    </row>
    <row r="416" spans="3:5" ht="15.6" x14ac:dyDescent="0.3">
      <c r="C416" s="12"/>
    </row>
    <row r="417" spans="3:5" ht="15.6" x14ac:dyDescent="0.3">
      <c r="C417" s="79"/>
      <c r="D417" s="113" t="str">
        <f>D408</f>
        <v>questão 24</v>
      </c>
    </row>
    <row r="418" spans="3:5" ht="15.6" x14ac:dyDescent="0.3">
      <c r="C418" s="121" t="str">
        <f>'Dashboard-1-AVALIAÇÃO INST.'!$A$29</f>
        <v>MUITO BOM / ÓTIMO</v>
      </c>
      <c r="D418" s="99">
        <f>D410+D411</f>
        <v>0.63793103448275867</v>
      </c>
    </row>
    <row r="419" spans="3:5" ht="15.6" x14ac:dyDescent="0.3">
      <c r="C419" s="122" t="str">
        <f>'Dashboard-1-AVALIAÇÃO INST.'!$A$30</f>
        <v>BOM</v>
      </c>
      <c r="D419" s="101">
        <f>D412</f>
        <v>0.10344827586206896</v>
      </c>
    </row>
    <row r="420" spans="3:5" ht="15.6" x14ac:dyDescent="0.3">
      <c r="C420" s="122" t="str">
        <f>'Dashboard-1-AVALIAÇÃO INST.'!$A$31</f>
        <v>RUIM / REGULAR</v>
      </c>
      <c r="D420" s="101">
        <f>D413+D414</f>
        <v>8.6206896551724144E-2</v>
      </c>
    </row>
    <row r="421" spans="3:5" ht="15.6" x14ac:dyDescent="0.3">
      <c r="C421" s="123" t="str">
        <f>'Dashboard-1-AVALIAÇÃO INST.'!$A$32</f>
        <v>NÃO SE APLICA / NÃO SEI</v>
      </c>
      <c r="D421" s="103">
        <f>D415</f>
        <v>0.17241379310344829</v>
      </c>
    </row>
    <row r="422" spans="3:5" x14ac:dyDescent="0.25">
      <c r="C422" s="105">
        <f>(SUM(D418:D421))</f>
        <v>1</v>
      </c>
      <c r="D422" s="106" t="str">
        <f>IF(C422=100%, "CORRETO","ERRO")</f>
        <v>CORRETO</v>
      </c>
    </row>
    <row r="427" spans="3:5" ht="15.6" x14ac:dyDescent="0.3">
      <c r="D427" s="42" t="str">
        <f>'D3'!AA19</f>
        <v>questão 25</v>
      </c>
      <c r="E427" s="12" t="str">
        <f>'D3'!AA1</f>
        <v>25- Nos eventuais trabalhos em grupo, participou e realizou as atividades ?</v>
      </c>
    </row>
    <row r="429" spans="3:5" x14ac:dyDescent="0.25">
      <c r="C429" s="66" t="str">
        <f>$A$24</f>
        <v>5-ÓTIMO</v>
      </c>
      <c r="D429" s="141">
        <f>(COUNTIF('D3'!AA$2:AA$6,5)+COUNTIF('D4'!AA$2:AA$5,5)+COUNTIF('D5'!AA$2:AA$3,5)+COUNTIF('D6'!AA$2:AA$6,5)+COUNTIF('D7'!AA$2:AA$6,5)+COUNTIF('D8'!AA$2:AA$6,5)+COUNTIF('D9'!AA$2:AA$9,5)+COUNTIF('D10'!AA$2:AA$7,5)+COUNTIF('D11'!AA$2:AA$3,5)+COUNTIF('D12'!AA$2:AA$4,5)+COUNTIF('D13'!AA$2:AA$17,5))/$A$20</f>
        <v>0.55172413793103448</v>
      </c>
    </row>
    <row r="430" spans="3:5" x14ac:dyDescent="0.25">
      <c r="C430" s="67" t="str">
        <f>$A$25</f>
        <v>4-MUITO BOM</v>
      </c>
      <c r="D430" s="141">
        <f>(COUNTIF('D3'!AA$2:AA$6,4)+COUNTIF('D4'!AA$2:AA$5,4)+COUNTIF('D5'!AA$2:AA$3,4)+COUNTIF('D6'!AA$2:AA$6,4)+COUNTIF('D7'!AA$2:AA$6,4)+COUNTIF('D8'!AA$2:AA$6,4)+COUNTIF('D9'!AA$2:AA$9,4)+COUNTIF('D10'!AA$2:AA$7,4)+COUNTIF('D11'!AA$2:AA$3,4)+COUNTIF('D12'!AA$2:AA$4,4)+COUNTIF('D13'!AA$2:AA$17,4))/$A$20</f>
        <v>6.8965517241379309E-2</v>
      </c>
    </row>
    <row r="431" spans="3:5" x14ac:dyDescent="0.25">
      <c r="C431" s="67" t="str">
        <f>$A$26</f>
        <v>3-BOM</v>
      </c>
      <c r="D431" s="141">
        <f>(COUNTIF('D3'!AA$2:AA$6,3)+COUNTIF('D4'!AA$2:AA$5,3)+COUNTIF('D5'!AA$2:AA$3,3)+COUNTIF('D6'!AA$2:AA$6,3)+COUNTIF('D7'!AA$2:AA$6,3)+COUNTIF('D8'!AA$2:AA$6,3)+COUNTIF('D9'!AA$2:AA$9,3)+COUNTIF('D10'!AA$2:AA$7,3)+COUNTIF('D11'!AA$2:AA$3,3)+COUNTIF('D12'!AA$2:AA$4,3)+COUNTIF('D13'!AA$2:AA$17,3))/$A$20</f>
        <v>0</v>
      </c>
    </row>
    <row r="432" spans="3:5" x14ac:dyDescent="0.25">
      <c r="C432" s="67" t="str">
        <f>$A$27</f>
        <v>2-REGULAR</v>
      </c>
      <c r="D432" s="141">
        <f>(COUNTIF('D3'!AA$2:AA$6,2)+COUNTIF('D4'!AA$2:AA$5,2)+COUNTIF('D5'!AA$2:AA$3,2)+COUNTIF('D6'!AA$2:AA$6,2)+COUNTIF('D7'!AA$2:AA$6,2)+COUNTIF('D8'!AA$2:AA$6,2)+COUNTIF('D9'!AA$2:AA$9,2)+COUNTIF('D10'!AA$2:AA$7,2)+COUNTIF('D11'!AA$2:AA$3,2)+COUNTIF('D12'!AA$2:AA$4,2)+COUNTIF('D13'!AA$2:AA$17,2))/$A$20</f>
        <v>0</v>
      </c>
    </row>
    <row r="433" spans="3:5" x14ac:dyDescent="0.25">
      <c r="C433" s="67" t="str">
        <f>$A$28</f>
        <v>1-RUIM</v>
      </c>
      <c r="D433" s="141">
        <f>(COUNTIF('D3'!AA$2:AA$6,1)+COUNTIF('D4'!AA$2:AA$5,1)+COUNTIF('D5'!AA$2:AA$3,1)+COUNTIF('D6'!AA$2:AA$6,1)+COUNTIF('D7'!AA$2:AA$6,1)+COUNTIF('D8'!AA$2:AA$6,1)+COUNTIF('D9'!AA$2:AA$9,1)+COUNTIF('D10'!AA$2:AA$7,1)+COUNTIF('D11'!AA$2:AA$3,1)+COUNTIF('D12'!AA$2:AA$4,1)+COUNTIF('D13'!AA$2:AA$17,1))/$A$20</f>
        <v>0</v>
      </c>
    </row>
    <row r="434" spans="3:5" x14ac:dyDescent="0.25">
      <c r="C434" s="68" t="str">
        <f>$A$29</f>
        <v>0-NÃO SE APLICA</v>
      </c>
      <c r="D434" s="141">
        <f>(COUNTIF('D3'!AA$2:AA$6,0)+COUNTIF('D4'!AA$2:AA$5,0)+COUNTIF('D5'!AA$2:AA$3,0)+COUNTIF('D6'!AA$2:AA$6,0)+COUNTIF('D7'!AA$2:AA$6,0)+COUNTIF('D8'!AA$2:AA$6,0)+COUNTIF('D9'!AA$2:AA$9,0)+COUNTIF('D10'!AA$2:AA$7,0)+COUNTIF('D11'!AA$2:AA$3,0)+COUNTIF('D12'!AA$2:AA$4,0)+COUNTIF('D13'!AA$2:AA$17,0))/$A$20</f>
        <v>0.37931034482758619</v>
      </c>
    </row>
    <row r="435" spans="3:5" ht="15.6" x14ac:dyDescent="0.3">
      <c r="C435" s="12"/>
    </row>
    <row r="436" spans="3:5" ht="15.6" x14ac:dyDescent="0.3">
      <c r="C436" s="79"/>
      <c r="D436" s="113" t="str">
        <f>D427</f>
        <v>questão 25</v>
      </c>
    </row>
    <row r="437" spans="3:5" ht="15.6" x14ac:dyDescent="0.3">
      <c r="C437" s="121" t="str">
        <f>'Dashboard-1-AVALIAÇÃO INST.'!$A$29</f>
        <v>MUITO BOM / ÓTIMO</v>
      </c>
      <c r="D437" s="99">
        <f>D429+D430</f>
        <v>0.62068965517241381</v>
      </c>
    </row>
    <row r="438" spans="3:5" ht="15.6" x14ac:dyDescent="0.3">
      <c r="C438" s="122" t="str">
        <f>'Dashboard-1-AVALIAÇÃO INST.'!$A$30</f>
        <v>BOM</v>
      </c>
      <c r="D438" s="101">
        <f>D431</f>
        <v>0</v>
      </c>
    </row>
    <row r="439" spans="3:5" ht="15.6" x14ac:dyDescent="0.3">
      <c r="C439" s="122" t="str">
        <f>'Dashboard-1-AVALIAÇÃO INST.'!$A$31</f>
        <v>RUIM / REGULAR</v>
      </c>
      <c r="D439" s="101">
        <f>D432+D433</f>
        <v>0</v>
      </c>
    </row>
    <row r="440" spans="3:5" ht="15.6" x14ac:dyDescent="0.3">
      <c r="C440" s="123" t="str">
        <f>'Dashboard-1-AVALIAÇÃO INST.'!$A$32</f>
        <v>NÃO SE APLICA / NÃO SEI</v>
      </c>
      <c r="D440" s="103">
        <f>D434</f>
        <v>0.37931034482758619</v>
      </c>
    </row>
    <row r="441" spans="3:5" x14ac:dyDescent="0.25">
      <c r="C441" s="105">
        <f>(SUM(D437:D440))</f>
        <v>1</v>
      </c>
      <c r="D441" s="106" t="str">
        <f>IF(C441=100%, "CORRETO","ERRO")</f>
        <v>CORRETO</v>
      </c>
    </row>
    <row r="446" spans="3:5" ht="15.6" x14ac:dyDescent="0.3">
      <c r="D446" s="42" t="str">
        <f>'D3'!AB19</f>
        <v>questão 26</v>
      </c>
      <c r="E446" s="12" t="str">
        <f>'D3'!AB1</f>
        <v>26- Participou de atividades extraclasse como monitoria, atividades de pesquisa, leituras e estudos complementares, entre outras ?</v>
      </c>
    </row>
    <row r="448" spans="3:5" x14ac:dyDescent="0.25">
      <c r="C448" s="66" t="str">
        <f>$A$24</f>
        <v>5-ÓTIMO</v>
      </c>
      <c r="D448" s="141">
        <f>(COUNTIF('D3'!AB$2:AB$6,5)+COUNTIF('D4'!AB$2:AB$5,5)+COUNTIF('D5'!AB$2:AB$3,5)+COUNTIF('D6'!AB$2:AB$6,5)+COUNTIF('D7'!AB$2:AB$6,5)+COUNTIF('D8'!AB$2:AB$6,5)+COUNTIF('D9'!AB$2:AB$9,5)+COUNTIF('D10'!AB$2:AB$7,5)+COUNTIF('D11'!AB$2:AB$3,5)+COUNTIF('D12'!AB$2:AB$4,5)+COUNTIF('D13'!AB$2:AB$17,5))/$A$20</f>
        <v>0.17241379310344829</v>
      </c>
    </row>
    <row r="449" spans="3:4" x14ac:dyDescent="0.25">
      <c r="C449" s="67" t="str">
        <f>$A$25</f>
        <v>4-MUITO BOM</v>
      </c>
      <c r="D449" s="141">
        <f>(COUNTIF('D3'!AB$2:AB$6,4)+COUNTIF('D4'!AB$2:AB$5,4)+COUNTIF('D5'!AB$2:AB$3,4)+COUNTIF('D6'!AB$2:AB$6,4)+COUNTIF('D7'!AB$2:AB$6,4)+COUNTIF('D8'!AB$2:AB$6,4)+COUNTIF('D9'!AB$2:AB$9,4)+COUNTIF('D10'!AB$2:AB$7,4)+COUNTIF('D11'!AB$2:AB$3,4)+COUNTIF('D12'!AB$2:AB$4,4)+COUNTIF('D13'!AB$2:AB$17,4))/$A$20</f>
        <v>0.13793103448275862</v>
      </c>
    </row>
    <row r="450" spans="3:4" x14ac:dyDescent="0.25">
      <c r="C450" s="67" t="str">
        <f>$A$26</f>
        <v>3-BOM</v>
      </c>
      <c r="D450" s="141">
        <f>(COUNTIF('D3'!AB$2:AB$6,3)+COUNTIF('D4'!AB$2:AB$5,3)+COUNTIF('D5'!AB$2:AB$3,3)+COUNTIF('D6'!AB$2:AB$6,3)+COUNTIF('D7'!AB$2:AB$6,3)+COUNTIF('D8'!AB$2:AB$6,3)+COUNTIF('D9'!AB$2:AB$9,3)+COUNTIF('D10'!AB$2:AB$7,3)+COUNTIF('D11'!AB$2:AB$3,3)+COUNTIF('D12'!AB$2:AB$4,3)+COUNTIF('D13'!AB$2:AB$17,3))/$A$20</f>
        <v>0.15517241379310345</v>
      </c>
    </row>
    <row r="451" spans="3:4" x14ac:dyDescent="0.25">
      <c r="C451" s="67" t="str">
        <f>$A$27</f>
        <v>2-REGULAR</v>
      </c>
      <c r="D451" s="141">
        <f>(COUNTIF('D3'!AB$2:AB$6,2)+COUNTIF('D4'!AB$2:AB$5,2)+COUNTIF('D5'!AB$2:AB$3,2)+COUNTIF('D6'!AB$2:AB$6,2)+COUNTIF('D7'!AB$2:AB$6,2)+COUNTIF('D8'!AB$2:AB$6,2)+COUNTIF('D9'!AB$2:AB$9,2)+COUNTIF('D10'!AB$2:AB$7,2)+COUNTIF('D11'!AB$2:AB$3,2)+COUNTIF('D12'!AB$2:AB$4,2)+COUNTIF('D13'!AB$2:AB$17,2))/$A$20</f>
        <v>3.4482758620689655E-2</v>
      </c>
    </row>
    <row r="452" spans="3:4" x14ac:dyDescent="0.25">
      <c r="C452" s="67" t="str">
        <f>$A$28</f>
        <v>1-RUIM</v>
      </c>
      <c r="D452" s="141">
        <f>(COUNTIF('D3'!AB$2:AB$6,1)+COUNTIF('D4'!AB$2:AB$5,1)+COUNTIF('D5'!AB$2:AB$3,1)+COUNTIF('D6'!AB$2:AB$6,1)+COUNTIF('D7'!AB$2:AB$6,1)+COUNTIF('D8'!AB$2:AB$6,1)+COUNTIF('D9'!AB$2:AB$9,1)+COUNTIF('D10'!AB$2:AB$7,1)+COUNTIF('D11'!AB$2:AB$3,1)+COUNTIF('D12'!AB$2:AB$4,1)+COUNTIF('D13'!AB$2:AB$17,1))/$A$20</f>
        <v>1.7241379310344827E-2</v>
      </c>
    </row>
    <row r="453" spans="3:4" x14ac:dyDescent="0.25">
      <c r="C453" s="68" t="str">
        <f>$A$29</f>
        <v>0-NÃO SE APLICA</v>
      </c>
      <c r="D453" s="141">
        <f>(COUNTIF('D3'!AB$2:AB$6,0)+COUNTIF('D4'!AB$2:AB$5,0)+COUNTIF('D5'!AB$2:AB$3,0)+COUNTIF('D6'!AB$2:AB$6,0)+COUNTIF('D7'!AB$2:AB$6,0)+COUNTIF('D8'!AB$2:AB$6,0)+COUNTIF('D9'!AB$2:AB$9,0)+COUNTIF('D10'!AB$2:AB$7,0)+COUNTIF('D11'!AB$2:AB$3,0)+COUNTIF('D12'!AB$2:AB$4,0)+COUNTIF('D13'!AB$2:AB$17,0))/$A$20</f>
        <v>0.48275862068965519</v>
      </c>
    </row>
    <row r="454" spans="3:4" ht="15.6" x14ac:dyDescent="0.3">
      <c r="C454" s="12"/>
    </row>
    <row r="455" spans="3:4" ht="15.6" x14ac:dyDescent="0.3">
      <c r="C455" s="79"/>
      <c r="D455" s="113" t="str">
        <f>D446</f>
        <v>questão 26</v>
      </c>
    </row>
    <row r="456" spans="3:4" ht="15.6" x14ac:dyDescent="0.3">
      <c r="C456" s="121" t="str">
        <f>'Dashboard-1-AVALIAÇÃO INST.'!$A$29</f>
        <v>MUITO BOM / ÓTIMO</v>
      </c>
      <c r="D456" s="99">
        <f>D448+D449</f>
        <v>0.31034482758620691</v>
      </c>
    </row>
    <row r="457" spans="3:4" ht="15.6" x14ac:dyDescent="0.3">
      <c r="C457" s="122" t="str">
        <f>'Dashboard-1-AVALIAÇÃO INST.'!$A$30</f>
        <v>BOM</v>
      </c>
      <c r="D457" s="101">
        <f>D450</f>
        <v>0.15517241379310345</v>
      </c>
    </row>
    <row r="458" spans="3:4" ht="15.6" x14ac:dyDescent="0.3">
      <c r="C458" s="122" t="str">
        <f>'Dashboard-1-AVALIAÇÃO INST.'!$A$31</f>
        <v>RUIM / REGULAR</v>
      </c>
      <c r="D458" s="101">
        <f>D451+D452</f>
        <v>5.1724137931034482E-2</v>
      </c>
    </row>
    <row r="459" spans="3:4" ht="15.6" x14ac:dyDescent="0.3">
      <c r="C459" s="123" t="str">
        <f>'Dashboard-1-AVALIAÇÃO INST.'!$A$32</f>
        <v>NÃO SE APLICA / NÃO SEI</v>
      </c>
      <c r="D459" s="103">
        <f>D453</f>
        <v>0.48275862068965519</v>
      </c>
    </row>
    <row r="460" spans="3:4" x14ac:dyDescent="0.25">
      <c r="C460" s="105">
        <f>(SUM(D456:D459))</f>
        <v>1</v>
      </c>
      <c r="D460" s="106" t="str">
        <f>IF(C460=100%, "CORRETO","ERRO")</f>
        <v>CORRETO</v>
      </c>
    </row>
  </sheetData>
  <mergeCells count="2">
    <mergeCell ref="D2:R5"/>
    <mergeCell ref="A22:A23"/>
  </mergeCells>
  <phoneticPr fontId="16" type="noConversion"/>
  <conditionalFormatting sqref="C15">
    <cfRule type="colorScale" priority="31">
      <colorScale>
        <cfvo type="min"/>
        <cfvo type="percentile" val="50"/>
        <cfvo type="max"/>
        <color rgb="FF5A8AC6"/>
        <color rgb="FFFCFCFF"/>
        <color rgb="FFF8696B"/>
      </colorScale>
    </cfRule>
  </conditionalFormatting>
  <conditionalFormatting sqref="C32">
    <cfRule type="colorScale" priority="32">
      <colorScale>
        <cfvo type="min"/>
        <cfvo type="percentile" val="50"/>
        <cfvo type="max"/>
        <color rgb="FF5A8AC6"/>
        <color rgb="FFFCFCFF"/>
        <color rgb="FFF8696B"/>
      </colorScale>
    </cfRule>
  </conditionalFormatting>
  <conditionalFormatting sqref="C51">
    <cfRule type="colorScale" priority="33">
      <colorScale>
        <cfvo type="min"/>
        <cfvo type="percentile" val="50"/>
        <cfvo type="max"/>
        <color rgb="FF5A8AC6"/>
        <color rgb="FFFCFCFF"/>
        <color rgb="FFF8696B"/>
      </colorScale>
    </cfRule>
  </conditionalFormatting>
  <conditionalFormatting sqref="C70">
    <cfRule type="colorScale" priority="34">
      <colorScale>
        <cfvo type="min"/>
        <cfvo type="percentile" val="50"/>
        <cfvo type="max"/>
        <color rgb="FF5A8AC6"/>
        <color rgb="FFFCFCFF"/>
        <color rgb="FFF8696B"/>
      </colorScale>
    </cfRule>
  </conditionalFormatting>
  <conditionalFormatting sqref="C89">
    <cfRule type="colorScale" priority="35">
      <colorScale>
        <cfvo type="min"/>
        <cfvo type="percentile" val="50"/>
        <cfvo type="max"/>
        <color rgb="FF5A8AC6"/>
        <color rgb="FFFCFCFF"/>
        <color rgb="FFF8696B"/>
      </colorScale>
    </cfRule>
  </conditionalFormatting>
  <conditionalFormatting sqref="C109">
    <cfRule type="colorScale" priority="36">
      <colorScale>
        <cfvo type="min"/>
        <cfvo type="percentile" val="50"/>
        <cfvo type="max"/>
        <color rgb="FF5A8AC6"/>
        <color rgb="FFFCFCFF"/>
        <color rgb="FFF8696B"/>
      </colorScale>
    </cfRule>
  </conditionalFormatting>
  <conditionalFormatting sqref="C129">
    <cfRule type="colorScale" priority="37">
      <colorScale>
        <cfvo type="min"/>
        <cfvo type="percentile" val="50"/>
        <cfvo type="max"/>
        <color rgb="FF5A8AC6"/>
        <color rgb="FFFCFCFF"/>
        <color rgb="FFF8696B"/>
      </colorScale>
    </cfRule>
  </conditionalFormatting>
  <conditionalFormatting sqref="C148">
    <cfRule type="colorScale" priority="38">
      <colorScale>
        <cfvo type="min"/>
        <cfvo type="percentile" val="50"/>
        <cfvo type="max"/>
        <color rgb="FF5A8AC6"/>
        <color rgb="FFFCFCFF"/>
        <color rgb="FFF8696B"/>
      </colorScale>
    </cfRule>
  </conditionalFormatting>
  <conditionalFormatting sqref="C167">
    <cfRule type="colorScale" priority="39">
      <colorScale>
        <cfvo type="min"/>
        <cfvo type="percentile" val="50"/>
        <cfvo type="max"/>
        <color rgb="FF5A8AC6"/>
        <color rgb="FFFCFCFF"/>
        <color rgb="FFF8696B"/>
      </colorScale>
    </cfRule>
  </conditionalFormatting>
  <conditionalFormatting sqref="C186">
    <cfRule type="colorScale" priority="40">
      <colorScale>
        <cfvo type="min"/>
        <cfvo type="percentile" val="50"/>
        <cfvo type="max"/>
        <color rgb="FF5A8AC6"/>
        <color rgb="FFFCFCFF"/>
        <color rgb="FFF8696B"/>
      </colorScale>
    </cfRule>
  </conditionalFormatting>
  <conditionalFormatting sqref="C205">
    <cfRule type="colorScale" priority="41">
      <colorScale>
        <cfvo type="min"/>
        <cfvo type="percentile" val="50"/>
        <cfvo type="max"/>
        <color rgb="FF5A8AC6"/>
        <color rgb="FFFCFCFF"/>
        <color rgb="FFF8696B"/>
      </colorScale>
    </cfRule>
  </conditionalFormatting>
  <conditionalFormatting sqref="C224">
    <cfRule type="colorScale" priority="42">
      <colorScale>
        <cfvo type="min"/>
        <cfvo type="percentile" val="50"/>
        <cfvo type="max"/>
        <color rgb="FF5A8AC6"/>
        <color rgb="FFFCFCFF"/>
        <color rgb="FFF8696B"/>
      </colorScale>
    </cfRule>
  </conditionalFormatting>
  <conditionalFormatting sqref="C243">
    <cfRule type="colorScale" priority="43">
      <colorScale>
        <cfvo type="min"/>
        <cfvo type="percentile" val="50"/>
        <cfvo type="max"/>
        <color rgb="FF5A8AC6"/>
        <color rgb="FFFCFCFF"/>
        <color rgb="FFF8696B"/>
      </colorScale>
    </cfRule>
  </conditionalFormatting>
  <conditionalFormatting sqref="C262">
    <cfRule type="colorScale" priority="44">
      <colorScale>
        <cfvo type="min"/>
        <cfvo type="percentile" val="50"/>
        <cfvo type="max"/>
        <color rgb="FF5A8AC6"/>
        <color rgb="FFFCFCFF"/>
        <color rgb="FFF8696B"/>
      </colorScale>
    </cfRule>
  </conditionalFormatting>
  <conditionalFormatting sqref="C281">
    <cfRule type="colorScale" priority="45">
      <colorScale>
        <cfvo type="min"/>
        <cfvo type="percentile" val="50"/>
        <cfvo type="max"/>
        <color rgb="FF5A8AC6"/>
        <color rgb="FFFCFCFF"/>
        <color rgb="FFF8696B"/>
      </colorScale>
    </cfRule>
  </conditionalFormatting>
  <conditionalFormatting sqref="C300">
    <cfRule type="colorScale" priority="46">
      <colorScale>
        <cfvo type="min"/>
        <cfvo type="percentile" val="50"/>
        <cfvo type="max"/>
        <color rgb="FF5A8AC6"/>
        <color rgb="FFFCFCFF"/>
        <color rgb="FFF8696B"/>
      </colorScale>
    </cfRule>
  </conditionalFormatting>
  <conditionalFormatting sqref="C320">
    <cfRule type="colorScale" priority="47">
      <colorScale>
        <cfvo type="min"/>
        <cfvo type="percentile" val="50"/>
        <cfvo type="max"/>
        <color rgb="FF5A8AC6"/>
        <color rgb="FFFCFCFF"/>
        <color rgb="FFF8696B"/>
      </colorScale>
    </cfRule>
  </conditionalFormatting>
  <conditionalFormatting sqref="C340">
    <cfRule type="colorScale" priority="48">
      <colorScale>
        <cfvo type="min"/>
        <cfvo type="percentile" val="50"/>
        <cfvo type="max"/>
        <color rgb="FF5A8AC6"/>
        <color rgb="FFFCFCFF"/>
        <color rgb="FFF8696B"/>
      </colorScale>
    </cfRule>
  </conditionalFormatting>
  <conditionalFormatting sqref="C359">
    <cfRule type="colorScale" priority="49">
      <colorScale>
        <cfvo type="min"/>
        <cfvo type="percentile" val="50"/>
        <cfvo type="max"/>
        <color rgb="FF5A8AC6"/>
        <color rgb="FFFCFCFF"/>
        <color rgb="FFF8696B"/>
      </colorScale>
    </cfRule>
  </conditionalFormatting>
  <conditionalFormatting sqref="C378">
    <cfRule type="colorScale" priority="50">
      <colorScale>
        <cfvo type="min"/>
        <cfvo type="percentile" val="50"/>
        <cfvo type="max"/>
        <color rgb="FF5A8AC6"/>
        <color rgb="FFFCFCFF"/>
        <color rgb="FFF8696B"/>
      </colorScale>
    </cfRule>
  </conditionalFormatting>
  <conditionalFormatting sqref="C397">
    <cfRule type="colorScale" priority="51">
      <colorScale>
        <cfvo type="min"/>
        <cfvo type="percentile" val="50"/>
        <cfvo type="max"/>
        <color rgb="FF5A8AC6"/>
        <color rgb="FFFCFCFF"/>
        <color rgb="FFF8696B"/>
      </colorScale>
    </cfRule>
  </conditionalFormatting>
  <conditionalFormatting sqref="C416">
    <cfRule type="colorScale" priority="52">
      <colorScale>
        <cfvo type="min"/>
        <cfvo type="percentile" val="50"/>
        <cfvo type="max"/>
        <color rgb="FF5A8AC6"/>
        <color rgb="FFFCFCFF"/>
        <color rgb="FFF8696B"/>
      </colorScale>
    </cfRule>
  </conditionalFormatting>
  <conditionalFormatting sqref="C435">
    <cfRule type="colorScale" priority="53">
      <colorScale>
        <cfvo type="min"/>
        <cfvo type="percentile" val="50"/>
        <cfvo type="max"/>
        <color rgb="FF5A8AC6"/>
        <color rgb="FFFCFCFF"/>
        <color rgb="FFF8696B"/>
      </colorScale>
    </cfRule>
  </conditionalFormatting>
  <conditionalFormatting sqref="C454">
    <cfRule type="colorScale" priority="54">
      <colorScale>
        <cfvo type="min"/>
        <cfvo type="percentile" val="50"/>
        <cfvo type="max"/>
        <color rgb="FF5A8AC6"/>
        <color rgb="FFFCFCFF"/>
        <color rgb="FFF8696B"/>
      </colorScale>
    </cfRule>
  </conditionalFormatting>
  <conditionalFormatting sqref="D21">
    <cfRule type="containsText" dxfId="60" priority="24" operator="containsText" text="ERRO">
      <formula>NOT(ISERROR(SEARCH("ERRO",D21)))</formula>
    </cfRule>
  </conditionalFormatting>
  <conditionalFormatting sqref="D38">
    <cfRule type="containsText" dxfId="59" priority="23" operator="containsText" text="ERRO">
      <formula>NOT(ISERROR(SEARCH("ERRO",D38)))</formula>
    </cfRule>
  </conditionalFormatting>
  <conditionalFormatting sqref="D57">
    <cfRule type="containsText" dxfId="58" priority="22" operator="containsText" text="ERRO">
      <formula>NOT(ISERROR(SEARCH("ERRO",D57)))</formula>
    </cfRule>
  </conditionalFormatting>
  <conditionalFormatting sqref="D76">
    <cfRule type="containsText" dxfId="57" priority="21" operator="containsText" text="ERRO">
      <formula>NOT(ISERROR(SEARCH("ERRO",D76)))</formula>
    </cfRule>
  </conditionalFormatting>
  <conditionalFormatting sqref="D95">
    <cfRule type="containsText" dxfId="56" priority="20" operator="containsText" text="ERRO">
      <formula>NOT(ISERROR(SEARCH("ERRO",D95)))</formula>
    </cfRule>
  </conditionalFormatting>
  <conditionalFormatting sqref="D115">
    <cfRule type="containsText" dxfId="55" priority="19" operator="containsText" text="ERRO">
      <formula>NOT(ISERROR(SEARCH("ERRO",D115)))</formula>
    </cfRule>
  </conditionalFormatting>
  <conditionalFormatting sqref="D135">
    <cfRule type="containsText" dxfId="54" priority="18" operator="containsText" text="ERRO">
      <formula>NOT(ISERROR(SEARCH("ERRO",D135)))</formula>
    </cfRule>
  </conditionalFormatting>
  <conditionalFormatting sqref="D154">
    <cfRule type="containsText" dxfId="53" priority="17" operator="containsText" text="ERRO">
      <formula>NOT(ISERROR(SEARCH("ERRO",D154)))</formula>
    </cfRule>
  </conditionalFormatting>
  <conditionalFormatting sqref="D173">
    <cfRule type="containsText" dxfId="52" priority="16" operator="containsText" text="ERRO">
      <formula>NOT(ISERROR(SEARCH("ERRO",D173)))</formula>
    </cfRule>
  </conditionalFormatting>
  <conditionalFormatting sqref="D192">
    <cfRule type="containsText" dxfId="51" priority="15" operator="containsText" text="ERRO">
      <formula>NOT(ISERROR(SEARCH("ERRO",D192)))</formula>
    </cfRule>
  </conditionalFormatting>
  <conditionalFormatting sqref="D211">
    <cfRule type="containsText" dxfId="50" priority="14" operator="containsText" text="ERRO">
      <formula>NOT(ISERROR(SEARCH("ERRO",D211)))</formula>
    </cfRule>
  </conditionalFormatting>
  <conditionalFormatting sqref="D230">
    <cfRule type="containsText" dxfId="49" priority="13" operator="containsText" text="ERRO">
      <formula>NOT(ISERROR(SEARCH("ERRO",D230)))</formula>
    </cfRule>
  </conditionalFormatting>
  <conditionalFormatting sqref="D249">
    <cfRule type="containsText" dxfId="48" priority="12" operator="containsText" text="ERRO">
      <formula>NOT(ISERROR(SEARCH("ERRO",D249)))</formula>
    </cfRule>
  </conditionalFormatting>
  <conditionalFormatting sqref="D268">
    <cfRule type="containsText" dxfId="47" priority="11" operator="containsText" text="ERRO">
      <formula>NOT(ISERROR(SEARCH("ERRO",D268)))</formula>
    </cfRule>
  </conditionalFormatting>
  <conditionalFormatting sqref="D287">
    <cfRule type="containsText" dxfId="46" priority="10" operator="containsText" text="ERRO">
      <formula>NOT(ISERROR(SEARCH("ERRO",D287)))</formula>
    </cfRule>
  </conditionalFormatting>
  <conditionalFormatting sqref="D306">
    <cfRule type="containsText" dxfId="45" priority="9" operator="containsText" text="ERRO">
      <formula>NOT(ISERROR(SEARCH("ERRO",D306)))</formula>
    </cfRule>
  </conditionalFormatting>
  <conditionalFormatting sqref="D326">
    <cfRule type="containsText" dxfId="44" priority="8" operator="containsText" text="ERRO">
      <formula>NOT(ISERROR(SEARCH("ERRO",D326)))</formula>
    </cfRule>
  </conditionalFormatting>
  <conditionalFormatting sqref="D346">
    <cfRule type="containsText" dxfId="43" priority="7" operator="containsText" text="ERRO">
      <formula>NOT(ISERROR(SEARCH("ERRO",D346)))</formula>
    </cfRule>
  </conditionalFormatting>
  <conditionalFormatting sqref="D365">
    <cfRule type="containsText" dxfId="42" priority="6" operator="containsText" text="ERRO">
      <formula>NOT(ISERROR(SEARCH("ERRO",D365)))</formula>
    </cfRule>
  </conditionalFormatting>
  <conditionalFormatting sqref="D384">
    <cfRule type="containsText" dxfId="41" priority="5" operator="containsText" text="ERRO">
      <formula>NOT(ISERROR(SEARCH("ERRO",D384)))</formula>
    </cfRule>
  </conditionalFormatting>
  <conditionalFormatting sqref="D403">
    <cfRule type="containsText" dxfId="40" priority="4" operator="containsText" text="ERRO">
      <formula>NOT(ISERROR(SEARCH("ERRO",D403)))</formula>
    </cfRule>
  </conditionalFormatting>
  <conditionalFormatting sqref="D422">
    <cfRule type="containsText" dxfId="39" priority="3" operator="containsText" text="ERRO">
      <formula>NOT(ISERROR(SEARCH("ERRO",D422)))</formula>
    </cfRule>
  </conditionalFormatting>
  <conditionalFormatting sqref="D441">
    <cfRule type="containsText" dxfId="38" priority="2" operator="containsText" text="ERRO">
      <formula>NOT(ISERROR(SEARCH("ERRO",D441)))</formula>
    </cfRule>
  </conditionalFormatting>
  <conditionalFormatting sqref="D460">
    <cfRule type="containsText" dxfId="37" priority="1" operator="containsText" text="ERRO">
      <formula>NOT(ISERROR(SEARCH("ERRO",D460)))</formula>
    </cfRule>
  </conditionalFormatting>
  <pageMargins left="0.511811024" right="0.511811024" top="0.78740157499999996" bottom="0.78740157499999996" header="0.31496062000000002" footer="0.31496062000000002"/>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129FB-0B85-4AD6-AA8B-CB065059DE2A}">
  <sheetPr codeName="Planilha5"/>
  <dimension ref="A1:AA140"/>
  <sheetViews>
    <sheetView zoomScale="60" zoomScaleNormal="60" workbookViewId="0">
      <pane ySplit="1" topLeftCell="A122" activePane="bottomLeft" state="frozen"/>
      <selection activeCell="AN69" sqref="AN69"/>
      <selection pane="bottomLeft" activeCell="E136" sqref="E136:F140"/>
    </sheetView>
  </sheetViews>
  <sheetFormatPr defaultColWidth="8.77734375" defaultRowHeight="13.2" x14ac:dyDescent="0.25"/>
  <cols>
    <col min="1" max="1" width="21.77734375" customWidth="1"/>
    <col min="2" max="2" width="9.77734375" customWidth="1"/>
    <col min="3" max="3" width="11.77734375" customWidth="1"/>
    <col min="4" max="4" width="15.44140625" style="92" customWidth="1"/>
    <col min="5" max="5" width="37" customWidth="1"/>
    <col min="26" max="28" width="0" hidden="1" customWidth="1"/>
  </cols>
  <sheetData>
    <row r="1" spans="1:27" x14ac:dyDescent="0.25">
      <c r="A1" s="1" t="s">
        <v>0</v>
      </c>
      <c r="B1" s="1" t="s">
        <v>157</v>
      </c>
      <c r="C1" s="1" t="s">
        <v>158</v>
      </c>
      <c r="D1" s="91" t="s">
        <v>159</v>
      </c>
      <c r="E1" s="1" t="s">
        <v>160</v>
      </c>
      <c r="F1" s="41" t="s">
        <v>161</v>
      </c>
      <c r="G1" s="41" t="s">
        <v>162</v>
      </c>
      <c r="H1" s="41" t="s">
        <v>163</v>
      </c>
      <c r="I1" s="41" t="s">
        <v>164</v>
      </c>
      <c r="J1" s="41" t="s">
        <v>165</v>
      </c>
      <c r="K1" s="41" t="s">
        <v>166</v>
      </c>
      <c r="L1" s="41" t="s">
        <v>167</v>
      </c>
      <c r="M1" s="1" t="s">
        <v>168</v>
      </c>
      <c r="N1" s="41" t="s">
        <v>169</v>
      </c>
      <c r="O1" s="41" t="s">
        <v>170</v>
      </c>
      <c r="P1" s="41" t="s">
        <v>171</v>
      </c>
      <c r="Q1" s="1" t="s">
        <v>172</v>
      </c>
      <c r="R1" s="41" t="s">
        <v>173</v>
      </c>
      <c r="S1" s="41" t="s">
        <v>174</v>
      </c>
      <c r="T1" s="41" t="s">
        <v>175</v>
      </c>
      <c r="U1" s="41" t="s">
        <v>176</v>
      </c>
      <c r="V1" s="41" t="s">
        <v>177</v>
      </c>
      <c r="W1" s="41" t="s">
        <v>178</v>
      </c>
      <c r="X1" s="41" t="s">
        <v>179</v>
      </c>
      <c r="Y1" s="41" t="s">
        <v>180</v>
      </c>
      <c r="Z1" s="1" t="s">
        <v>181</v>
      </c>
      <c r="AA1" s="1" t="s">
        <v>182</v>
      </c>
    </row>
    <row r="2" spans="1:27" ht="15.75" customHeight="1" x14ac:dyDescent="0.25">
      <c r="A2" s="2">
        <v>44176.538157210649</v>
      </c>
      <c r="B2" s="1" t="s">
        <v>183</v>
      </c>
      <c r="C2" s="1" t="s">
        <v>184</v>
      </c>
      <c r="D2" s="91" t="s">
        <v>185</v>
      </c>
      <c r="E2" s="1" t="s">
        <v>185</v>
      </c>
      <c r="F2" s="1">
        <v>5</v>
      </c>
      <c r="G2" s="1">
        <v>5</v>
      </c>
      <c r="H2" s="1">
        <v>0</v>
      </c>
      <c r="I2" s="1">
        <v>5</v>
      </c>
      <c r="J2" s="1">
        <v>0</v>
      </c>
      <c r="K2" s="1">
        <v>0</v>
      </c>
      <c r="L2" s="1">
        <v>0</v>
      </c>
      <c r="M2" s="1">
        <v>5</v>
      </c>
      <c r="N2" s="1">
        <v>5</v>
      </c>
      <c r="O2" s="1">
        <v>5</v>
      </c>
      <c r="P2" s="1">
        <v>0</v>
      </c>
      <c r="Q2" s="1">
        <v>5</v>
      </c>
      <c r="R2" s="1">
        <v>5</v>
      </c>
      <c r="S2" s="1">
        <v>5</v>
      </c>
      <c r="T2" s="1">
        <v>0</v>
      </c>
      <c r="U2" s="1">
        <v>0</v>
      </c>
      <c r="V2" s="1">
        <v>5</v>
      </c>
      <c r="W2" s="1">
        <v>5</v>
      </c>
      <c r="X2" s="1">
        <v>2</v>
      </c>
      <c r="Y2" s="1">
        <v>5</v>
      </c>
      <c r="AA2" s="1" t="s">
        <v>186</v>
      </c>
    </row>
    <row r="3" spans="1:27" ht="15.75" customHeight="1" x14ac:dyDescent="0.25">
      <c r="A3" s="2">
        <v>44176.541691192135</v>
      </c>
      <c r="B3" s="1" t="s">
        <v>183</v>
      </c>
      <c r="C3" s="1" t="s">
        <v>187</v>
      </c>
      <c r="D3" s="91" t="s">
        <v>185</v>
      </c>
      <c r="E3" s="1" t="s">
        <v>185</v>
      </c>
      <c r="F3" s="1">
        <v>4</v>
      </c>
      <c r="G3" s="1">
        <v>4</v>
      </c>
      <c r="H3" s="1">
        <v>0</v>
      </c>
      <c r="I3" s="1">
        <v>5</v>
      </c>
      <c r="J3" s="1">
        <v>0</v>
      </c>
      <c r="K3" s="1">
        <v>0</v>
      </c>
      <c r="L3" s="1">
        <v>5</v>
      </c>
      <c r="M3" s="1">
        <v>5</v>
      </c>
      <c r="N3" s="1">
        <v>5</v>
      </c>
      <c r="O3" s="1">
        <v>5</v>
      </c>
      <c r="P3" s="1">
        <v>0</v>
      </c>
      <c r="Q3" s="1">
        <v>0</v>
      </c>
      <c r="R3" s="1">
        <v>5</v>
      </c>
      <c r="S3" s="1">
        <v>0</v>
      </c>
      <c r="T3" s="1">
        <v>5</v>
      </c>
      <c r="U3" s="1">
        <v>5</v>
      </c>
      <c r="V3" s="1">
        <v>5</v>
      </c>
      <c r="W3" s="1">
        <v>4</v>
      </c>
      <c r="X3" s="1">
        <v>5</v>
      </c>
      <c r="Y3" s="1">
        <v>5</v>
      </c>
    </row>
    <row r="4" spans="1:27" ht="15.75" customHeight="1" x14ac:dyDescent="0.25">
      <c r="A4" s="2">
        <v>44176.549008379632</v>
      </c>
      <c r="B4" s="1" t="s">
        <v>188</v>
      </c>
      <c r="C4" s="1" t="s">
        <v>184</v>
      </c>
      <c r="D4" s="91" t="s">
        <v>185</v>
      </c>
      <c r="E4" s="1" t="s">
        <v>185</v>
      </c>
      <c r="F4" s="1">
        <v>5</v>
      </c>
      <c r="G4" s="1">
        <v>0</v>
      </c>
      <c r="H4" s="1">
        <v>0</v>
      </c>
      <c r="I4" s="1">
        <v>5</v>
      </c>
      <c r="J4" s="1">
        <v>5</v>
      </c>
      <c r="K4" s="1">
        <v>5</v>
      </c>
      <c r="L4" s="1">
        <v>5</v>
      </c>
      <c r="M4" s="1">
        <v>5</v>
      </c>
      <c r="N4" s="1">
        <v>5</v>
      </c>
      <c r="O4" s="1">
        <v>5</v>
      </c>
      <c r="P4" s="1">
        <v>0</v>
      </c>
      <c r="Q4" s="1">
        <v>5</v>
      </c>
      <c r="R4" s="1">
        <v>5</v>
      </c>
      <c r="S4" s="1">
        <v>5</v>
      </c>
      <c r="T4" s="1">
        <v>0</v>
      </c>
      <c r="U4" s="1">
        <v>0</v>
      </c>
      <c r="V4" s="1">
        <v>5</v>
      </c>
      <c r="W4" s="1">
        <v>5</v>
      </c>
      <c r="X4" s="1">
        <v>5</v>
      </c>
      <c r="Y4" s="1">
        <v>5</v>
      </c>
    </row>
    <row r="5" spans="1:27" ht="15.75" customHeight="1" x14ac:dyDescent="0.25">
      <c r="A5" s="2">
        <v>44274.549345787033</v>
      </c>
      <c r="B5" s="1" t="s">
        <v>188</v>
      </c>
      <c r="C5" s="1" t="s">
        <v>184</v>
      </c>
      <c r="D5" s="91" t="s">
        <v>185</v>
      </c>
      <c r="E5" s="1" t="s">
        <v>185</v>
      </c>
      <c r="F5" s="1">
        <v>4</v>
      </c>
      <c r="G5" s="1">
        <v>4</v>
      </c>
      <c r="H5" s="1">
        <v>4</v>
      </c>
      <c r="I5" s="1">
        <v>5</v>
      </c>
      <c r="J5" s="1">
        <v>4</v>
      </c>
      <c r="K5" s="1">
        <v>4</v>
      </c>
      <c r="L5" s="1">
        <v>5</v>
      </c>
      <c r="M5" s="1">
        <v>3</v>
      </c>
      <c r="N5" s="1">
        <v>4</v>
      </c>
      <c r="O5" s="1">
        <v>5</v>
      </c>
      <c r="P5" s="1">
        <v>0</v>
      </c>
      <c r="Q5" s="1">
        <v>3</v>
      </c>
      <c r="R5" s="1">
        <v>3</v>
      </c>
      <c r="S5" s="1">
        <v>4</v>
      </c>
      <c r="T5" s="1">
        <v>3</v>
      </c>
      <c r="U5" s="1">
        <v>3</v>
      </c>
      <c r="V5" s="1">
        <v>5</v>
      </c>
      <c r="W5" s="1">
        <v>4</v>
      </c>
      <c r="X5" s="1">
        <v>2</v>
      </c>
      <c r="Y5" s="1">
        <v>3</v>
      </c>
    </row>
    <row r="6" spans="1:27" ht="15.75" customHeight="1" x14ac:dyDescent="0.25">
      <c r="A6" s="2">
        <v>44176.561537002315</v>
      </c>
      <c r="B6" s="1" t="s">
        <v>183</v>
      </c>
      <c r="C6" s="1" t="s">
        <v>187</v>
      </c>
      <c r="D6" s="91" t="s">
        <v>185</v>
      </c>
      <c r="E6" s="1" t="s">
        <v>185</v>
      </c>
      <c r="F6" s="1">
        <v>3</v>
      </c>
      <c r="G6" s="1">
        <v>0</v>
      </c>
      <c r="H6" s="1">
        <v>0</v>
      </c>
      <c r="I6" s="1">
        <v>0</v>
      </c>
      <c r="J6" s="1">
        <v>4</v>
      </c>
      <c r="K6" s="1">
        <v>4</v>
      </c>
      <c r="L6" s="1">
        <v>5</v>
      </c>
      <c r="M6" s="1">
        <v>4</v>
      </c>
      <c r="N6" s="1">
        <v>4</v>
      </c>
      <c r="O6" s="1">
        <v>5</v>
      </c>
      <c r="P6" s="1">
        <v>0</v>
      </c>
      <c r="Q6" s="1">
        <v>4</v>
      </c>
      <c r="R6" s="1">
        <v>4</v>
      </c>
      <c r="S6" s="1">
        <v>4</v>
      </c>
      <c r="T6" s="1">
        <v>4</v>
      </c>
      <c r="U6" s="1">
        <v>4</v>
      </c>
      <c r="V6" s="1">
        <v>4</v>
      </c>
      <c r="W6" s="1">
        <v>4</v>
      </c>
      <c r="X6" s="1">
        <v>2</v>
      </c>
      <c r="Y6" s="1">
        <v>2</v>
      </c>
    </row>
    <row r="7" spans="1:27" ht="15.75" customHeight="1" x14ac:dyDescent="0.25">
      <c r="A7" s="2">
        <v>44176.563704594912</v>
      </c>
      <c r="B7" s="1" t="s">
        <v>183</v>
      </c>
      <c r="C7" s="1" t="s">
        <v>184</v>
      </c>
      <c r="D7" s="91" t="s">
        <v>185</v>
      </c>
      <c r="E7" s="1" t="s">
        <v>185</v>
      </c>
      <c r="F7" s="1">
        <v>5</v>
      </c>
      <c r="G7" s="1">
        <v>4</v>
      </c>
      <c r="H7" s="1">
        <v>4</v>
      </c>
      <c r="I7" s="1">
        <v>5</v>
      </c>
      <c r="J7" s="1">
        <v>3</v>
      </c>
      <c r="K7" s="1">
        <v>3</v>
      </c>
      <c r="L7" s="1">
        <v>5</v>
      </c>
      <c r="M7" s="1">
        <v>2</v>
      </c>
      <c r="N7" s="1">
        <v>4</v>
      </c>
      <c r="O7" s="1">
        <v>5</v>
      </c>
      <c r="P7" s="1">
        <v>4</v>
      </c>
      <c r="Q7" s="1">
        <v>4</v>
      </c>
      <c r="R7" s="1">
        <v>4</v>
      </c>
      <c r="S7" s="1">
        <v>3</v>
      </c>
      <c r="T7" s="1">
        <v>3</v>
      </c>
      <c r="U7" s="1">
        <v>3</v>
      </c>
      <c r="V7" s="1">
        <v>4</v>
      </c>
      <c r="W7" s="1">
        <v>2</v>
      </c>
      <c r="X7" s="1">
        <v>3</v>
      </c>
      <c r="Y7" s="1">
        <v>2</v>
      </c>
    </row>
    <row r="8" spans="1:27" ht="15.75" customHeight="1" x14ac:dyDescent="0.25">
      <c r="A8" s="2">
        <v>44176.567884444448</v>
      </c>
      <c r="B8" s="1" t="s">
        <v>189</v>
      </c>
      <c r="C8" s="1" t="s">
        <v>187</v>
      </c>
      <c r="D8" s="91" t="s">
        <v>190</v>
      </c>
      <c r="E8" s="1" t="s">
        <v>191</v>
      </c>
      <c r="F8" s="1">
        <v>5</v>
      </c>
      <c r="G8" s="1">
        <v>4</v>
      </c>
      <c r="H8" s="1">
        <v>4</v>
      </c>
      <c r="I8" s="1">
        <v>5</v>
      </c>
      <c r="J8" s="1">
        <v>4</v>
      </c>
      <c r="K8" s="1">
        <v>4</v>
      </c>
      <c r="L8" s="1">
        <v>5</v>
      </c>
      <c r="M8" s="1">
        <v>5</v>
      </c>
      <c r="N8" s="1">
        <v>5</v>
      </c>
      <c r="O8" s="1">
        <v>5</v>
      </c>
      <c r="P8" s="1">
        <v>5</v>
      </c>
      <c r="Q8" s="1">
        <v>5</v>
      </c>
      <c r="R8" s="1">
        <v>5</v>
      </c>
      <c r="S8" s="1">
        <v>4</v>
      </c>
      <c r="T8" s="1">
        <v>0</v>
      </c>
      <c r="U8" s="1">
        <v>0</v>
      </c>
      <c r="V8" s="1">
        <v>5</v>
      </c>
      <c r="W8" s="1">
        <v>5</v>
      </c>
      <c r="X8" s="1">
        <v>5</v>
      </c>
      <c r="Y8" s="1">
        <v>5</v>
      </c>
    </row>
    <row r="9" spans="1:27" ht="15.75" customHeight="1" x14ac:dyDescent="0.25">
      <c r="A9" s="2">
        <v>44176.575128506942</v>
      </c>
      <c r="B9" s="1" t="s">
        <v>183</v>
      </c>
      <c r="C9" s="1" t="s">
        <v>192</v>
      </c>
      <c r="D9" s="91" t="s">
        <v>185</v>
      </c>
      <c r="E9" s="1" t="s">
        <v>185</v>
      </c>
      <c r="F9" s="1">
        <v>4</v>
      </c>
      <c r="G9" s="1">
        <v>3</v>
      </c>
      <c r="H9" s="1">
        <v>2</v>
      </c>
      <c r="I9" s="1">
        <v>4</v>
      </c>
      <c r="J9" s="1">
        <v>2</v>
      </c>
      <c r="K9" s="1">
        <v>4</v>
      </c>
      <c r="L9" s="1">
        <v>4</v>
      </c>
      <c r="M9" s="1">
        <v>4</v>
      </c>
      <c r="N9" s="1">
        <v>1</v>
      </c>
      <c r="O9" s="1">
        <v>1</v>
      </c>
      <c r="P9" s="1">
        <v>0</v>
      </c>
      <c r="Q9" s="1">
        <v>1</v>
      </c>
      <c r="R9" s="1">
        <v>1</v>
      </c>
      <c r="S9" s="1">
        <v>4</v>
      </c>
      <c r="T9" s="1">
        <v>1</v>
      </c>
      <c r="U9" s="1">
        <v>0</v>
      </c>
      <c r="V9" s="1">
        <v>0</v>
      </c>
      <c r="W9" s="1">
        <v>4</v>
      </c>
      <c r="X9" s="1">
        <v>1</v>
      </c>
      <c r="Y9" s="1">
        <v>1</v>
      </c>
      <c r="AA9" s="1" t="s">
        <v>193</v>
      </c>
    </row>
    <row r="10" spans="1:27" ht="15.75" customHeight="1" x14ac:dyDescent="0.25">
      <c r="A10" s="2">
        <v>44176.581279513892</v>
      </c>
      <c r="B10" s="1" t="s">
        <v>189</v>
      </c>
      <c r="C10" s="1" t="s">
        <v>184</v>
      </c>
      <c r="D10" s="91">
        <v>2019</v>
      </c>
      <c r="E10" s="1" t="s">
        <v>191</v>
      </c>
      <c r="F10" s="1">
        <v>3</v>
      </c>
      <c r="G10" s="1">
        <v>0</v>
      </c>
      <c r="H10" s="1">
        <v>0</v>
      </c>
      <c r="I10" s="1">
        <v>0</v>
      </c>
      <c r="J10" s="1">
        <v>0</v>
      </c>
      <c r="K10" s="1">
        <v>0</v>
      </c>
      <c r="L10" s="1">
        <v>0</v>
      </c>
      <c r="M10" s="1">
        <v>5</v>
      </c>
      <c r="N10" s="1">
        <v>5</v>
      </c>
      <c r="O10" s="1">
        <v>5</v>
      </c>
      <c r="P10" s="1">
        <v>0</v>
      </c>
      <c r="Q10" s="1">
        <v>5</v>
      </c>
      <c r="R10" s="1">
        <v>0</v>
      </c>
      <c r="S10" s="1">
        <v>4</v>
      </c>
      <c r="T10" s="1">
        <v>0</v>
      </c>
      <c r="U10" s="1">
        <v>0</v>
      </c>
      <c r="V10" s="1">
        <v>5</v>
      </c>
      <c r="W10" s="1">
        <v>4</v>
      </c>
      <c r="X10" s="1">
        <v>5</v>
      </c>
      <c r="Y10" s="1">
        <v>5</v>
      </c>
    </row>
    <row r="11" spans="1:27" ht="15.75" customHeight="1" x14ac:dyDescent="0.25">
      <c r="A11" s="2">
        <v>44176.583186122683</v>
      </c>
      <c r="B11" s="1" t="s">
        <v>189</v>
      </c>
      <c r="C11" s="1" t="s">
        <v>187</v>
      </c>
      <c r="D11" s="91">
        <v>2020</v>
      </c>
      <c r="E11" s="1" t="s">
        <v>194</v>
      </c>
      <c r="F11" s="1">
        <v>5</v>
      </c>
      <c r="G11" s="1">
        <v>1</v>
      </c>
      <c r="H11" s="1">
        <v>0</v>
      </c>
      <c r="I11" s="1">
        <v>4</v>
      </c>
      <c r="J11" s="1">
        <v>2</v>
      </c>
      <c r="K11" s="1">
        <v>2</v>
      </c>
      <c r="L11" s="1">
        <v>3</v>
      </c>
      <c r="M11" s="1">
        <v>5</v>
      </c>
      <c r="N11" s="1">
        <v>5</v>
      </c>
      <c r="O11" s="1">
        <v>5</v>
      </c>
      <c r="P11" s="1">
        <v>0</v>
      </c>
      <c r="Q11" s="1">
        <v>5</v>
      </c>
      <c r="R11" s="1">
        <v>5</v>
      </c>
      <c r="S11" s="1">
        <v>3</v>
      </c>
      <c r="T11" s="1">
        <v>0</v>
      </c>
      <c r="U11" s="1">
        <v>0</v>
      </c>
      <c r="V11" s="1">
        <v>0</v>
      </c>
      <c r="W11" s="1">
        <v>4</v>
      </c>
      <c r="X11" s="1">
        <v>3</v>
      </c>
      <c r="Y11" s="1">
        <v>2</v>
      </c>
    </row>
    <row r="12" spans="1:27" ht="15.75" customHeight="1" x14ac:dyDescent="0.25">
      <c r="A12" s="2">
        <v>44176.592585416671</v>
      </c>
      <c r="B12" s="1" t="s">
        <v>189</v>
      </c>
      <c r="C12" s="1" t="s">
        <v>184</v>
      </c>
      <c r="D12" s="91">
        <v>2020</v>
      </c>
      <c r="E12" s="1" t="s">
        <v>194</v>
      </c>
      <c r="F12" s="1">
        <v>4</v>
      </c>
      <c r="G12" s="1">
        <v>5</v>
      </c>
      <c r="H12" s="1">
        <v>1</v>
      </c>
      <c r="I12" s="1">
        <v>5</v>
      </c>
      <c r="J12" s="1">
        <v>0</v>
      </c>
      <c r="K12" s="1">
        <v>3</v>
      </c>
      <c r="L12" s="1">
        <v>5</v>
      </c>
      <c r="M12" s="1">
        <v>3</v>
      </c>
      <c r="N12" s="1">
        <v>5</v>
      </c>
      <c r="O12" s="1">
        <v>5</v>
      </c>
      <c r="P12" s="1">
        <v>0</v>
      </c>
      <c r="Q12" s="1">
        <v>3</v>
      </c>
      <c r="R12" s="1">
        <v>0</v>
      </c>
      <c r="S12" s="1">
        <v>5</v>
      </c>
      <c r="T12" s="1">
        <v>5</v>
      </c>
      <c r="U12" s="1">
        <v>5</v>
      </c>
      <c r="V12" s="1">
        <v>5</v>
      </c>
      <c r="W12" s="1">
        <v>0</v>
      </c>
      <c r="X12" s="1">
        <v>3</v>
      </c>
      <c r="Y12" s="1">
        <v>5</v>
      </c>
    </row>
    <row r="13" spans="1:27" ht="15.75" customHeight="1" x14ac:dyDescent="0.25">
      <c r="A13" s="2">
        <v>44176.607037743059</v>
      </c>
      <c r="B13" s="1" t="s">
        <v>195</v>
      </c>
      <c r="C13" s="1" t="s">
        <v>184</v>
      </c>
      <c r="D13" s="91" t="s">
        <v>185</v>
      </c>
      <c r="E13" s="1" t="s">
        <v>185</v>
      </c>
      <c r="F13" s="1">
        <v>5</v>
      </c>
      <c r="G13" s="1">
        <v>4</v>
      </c>
      <c r="H13" s="1">
        <v>3</v>
      </c>
      <c r="I13" s="1">
        <v>5</v>
      </c>
      <c r="J13" s="1">
        <v>5</v>
      </c>
      <c r="K13" s="1">
        <v>5</v>
      </c>
      <c r="L13" s="1">
        <v>5</v>
      </c>
      <c r="M13" s="1">
        <v>5</v>
      </c>
      <c r="N13" s="1">
        <v>5</v>
      </c>
      <c r="O13" s="1">
        <v>5</v>
      </c>
      <c r="P13" s="1">
        <v>5</v>
      </c>
      <c r="Q13" s="1">
        <v>5</v>
      </c>
      <c r="R13" s="1">
        <v>3</v>
      </c>
      <c r="S13" s="1">
        <v>4</v>
      </c>
      <c r="T13" s="1">
        <v>4</v>
      </c>
      <c r="U13" s="1">
        <v>4</v>
      </c>
      <c r="V13" s="1">
        <v>4</v>
      </c>
      <c r="W13" s="1">
        <v>5</v>
      </c>
      <c r="X13" s="1">
        <v>2</v>
      </c>
      <c r="Y13" s="1">
        <v>2</v>
      </c>
    </row>
    <row r="14" spans="1:27" ht="15.75" customHeight="1" x14ac:dyDescent="0.25">
      <c r="A14" s="2">
        <v>44176.609476145837</v>
      </c>
      <c r="B14" s="1" t="s">
        <v>189</v>
      </c>
      <c r="C14" s="1" t="s">
        <v>184</v>
      </c>
      <c r="D14" s="91" t="s">
        <v>190</v>
      </c>
      <c r="E14" s="1" t="s">
        <v>196</v>
      </c>
      <c r="F14" s="1">
        <v>0</v>
      </c>
      <c r="G14" s="1">
        <v>0</v>
      </c>
      <c r="H14" s="1">
        <v>0</v>
      </c>
      <c r="I14" s="1">
        <v>5</v>
      </c>
      <c r="J14" s="1">
        <v>4</v>
      </c>
      <c r="K14" s="1">
        <v>5</v>
      </c>
      <c r="L14" s="1">
        <v>5</v>
      </c>
      <c r="M14" s="1">
        <v>0</v>
      </c>
      <c r="N14" s="1">
        <v>0</v>
      </c>
      <c r="O14" s="1">
        <v>5</v>
      </c>
      <c r="P14" s="1">
        <v>0</v>
      </c>
      <c r="Q14" s="1">
        <v>5</v>
      </c>
      <c r="R14" s="1">
        <v>0</v>
      </c>
      <c r="S14" s="1">
        <v>5</v>
      </c>
      <c r="T14" s="1">
        <v>5</v>
      </c>
      <c r="U14" s="1">
        <v>0</v>
      </c>
      <c r="V14" s="1">
        <v>0</v>
      </c>
      <c r="W14" s="1">
        <v>0</v>
      </c>
      <c r="X14" s="1">
        <v>5</v>
      </c>
      <c r="Y14" s="1">
        <v>5</v>
      </c>
      <c r="AA14" s="1" t="s">
        <v>197</v>
      </c>
    </row>
    <row r="15" spans="1:27" ht="15.75" customHeight="1" x14ac:dyDescent="0.25">
      <c r="A15" s="2">
        <v>44176.613210266209</v>
      </c>
      <c r="B15" s="1" t="s">
        <v>188</v>
      </c>
      <c r="C15" s="1" t="s">
        <v>184</v>
      </c>
      <c r="D15" s="91" t="s">
        <v>185</v>
      </c>
      <c r="E15" s="1" t="s">
        <v>185</v>
      </c>
      <c r="F15" s="1">
        <v>5</v>
      </c>
      <c r="G15" s="1">
        <v>3</v>
      </c>
      <c r="H15" s="1">
        <v>0</v>
      </c>
      <c r="I15" s="1">
        <v>5</v>
      </c>
      <c r="J15" s="1">
        <v>4</v>
      </c>
      <c r="K15" s="1">
        <v>4</v>
      </c>
      <c r="L15" s="1">
        <v>5</v>
      </c>
      <c r="M15" s="1">
        <v>5</v>
      </c>
      <c r="N15" s="1">
        <v>4</v>
      </c>
      <c r="O15" s="1">
        <v>5</v>
      </c>
      <c r="P15" s="1">
        <v>5</v>
      </c>
      <c r="Q15" s="1">
        <v>5</v>
      </c>
      <c r="R15" s="1">
        <v>3</v>
      </c>
      <c r="S15" s="1">
        <v>4</v>
      </c>
      <c r="T15" s="1">
        <v>4</v>
      </c>
      <c r="U15" s="1">
        <v>4</v>
      </c>
      <c r="V15" s="1">
        <v>5</v>
      </c>
      <c r="W15" s="1">
        <v>3</v>
      </c>
      <c r="X15" s="1">
        <v>4</v>
      </c>
      <c r="Y15" s="1">
        <v>4</v>
      </c>
      <c r="Z15" s="1" t="s">
        <v>198</v>
      </c>
    </row>
    <row r="16" spans="1:27" ht="15.75" customHeight="1" x14ac:dyDescent="0.25">
      <c r="A16" s="2">
        <v>44176.642915393517</v>
      </c>
      <c r="B16" s="1" t="s">
        <v>189</v>
      </c>
      <c r="C16" s="1" t="s">
        <v>187</v>
      </c>
      <c r="D16" s="91" t="s">
        <v>190</v>
      </c>
      <c r="E16" s="1" t="s">
        <v>196</v>
      </c>
      <c r="F16" s="1">
        <v>5</v>
      </c>
      <c r="G16" s="1">
        <v>0</v>
      </c>
      <c r="H16" s="1">
        <v>0</v>
      </c>
      <c r="I16" s="1">
        <v>4</v>
      </c>
      <c r="J16" s="1">
        <v>0</v>
      </c>
      <c r="K16" s="1">
        <v>0</v>
      </c>
      <c r="L16" s="1">
        <v>5</v>
      </c>
      <c r="M16" s="1">
        <v>1</v>
      </c>
      <c r="N16" s="1">
        <v>2</v>
      </c>
      <c r="O16" s="1">
        <v>2</v>
      </c>
      <c r="P16" s="1">
        <v>0</v>
      </c>
      <c r="Q16" s="1">
        <v>0</v>
      </c>
      <c r="R16" s="1">
        <v>0</v>
      </c>
      <c r="S16" s="1">
        <v>3</v>
      </c>
      <c r="T16" s="1">
        <v>0</v>
      </c>
      <c r="U16" s="1">
        <v>0</v>
      </c>
      <c r="V16" s="1">
        <v>4</v>
      </c>
      <c r="W16" s="1">
        <v>3</v>
      </c>
      <c r="X16" s="1">
        <v>4</v>
      </c>
      <c r="Y16" s="1">
        <v>3</v>
      </c>
    </row>
    <row r="17" spans="1:27" ht="15.75" customHeight="1" x14ac:dyDescent="0.25">
      <c r="A17" s="2">
        <v>44176.648622094908</v>
      </c>
      <c r="B17" s="1" t="s">
        <v>188</v>
      </c>
      <c r="C17" s="1" t="s">
        <v>187</v>
      </c>
      <c r="D17" s="91" t="s">
        <v>185</v>
      </c>
      <c r="E17" s="1" t="s">
        <v>185</v>
      </c>
      <c r="F17" s="1">
        <v>5</v>
      </c>
      <c r="G17" s="1">
        <v>2</v>
      </c>
      <c r="H17" s="1">
        <v>4</v>
      </c>
      <c r="I17" s="1">
        <v>4</v>
      </c>
      <c r="J17" s="1">
        <v>4</v>
      </c>
      <c r="K17" s="1">
        <v>4</v>
      </c>
      <c r="L17" s="1">
        <v>5</v>
      </c>
      <c r="M17" s="1">
        <v>5</v>
      </c>
      <c r="N17" s="1">
        <v>5</v>
      </c>
      <c r="O17" s="1">
        <v>5</v>
      </c>
      <c r="P17" s="1">
        <v>5</v>
      </c>
      <c r="Q17" s="1">
        <v>5</v>
      </c>
      <c r="R17" s="1">
        <v>4</v>
      </c>
      <c r="S17" s="1">
        <v>4</v>
      </c>
      <c r="T17" s="1">
        <v>4</v>
      </c>
      <c r="U17" s="1">
        <v>4</v>
      </c>
      <c r="V17" s="1">
        <v>4</v>
      </c>
      <c r="W17" s="1">
        <v>4</v>
      </c>
      <c r="X17" s="1">
        <v>3</v>
      </c>
      <c r="Y17" s="1">
        <v>4</v>
      </c>
    </row>
    <row r="18" spans="1:27" ht="15.75" customHeight="1" x14ac:dyDescent="0.25">
      <c r="A18" s="2">
        <v>44176.653886215281</v>
      </c>
      <c r="B18" s="1" t="s">
        <v>183</v>
      </c>
      <c r="C18" s="1" t="s">
        <v>187</v>
      </c>
      <c r="D18" s="91" t="s">
        <v>185</v>
      </c>
      <c r="E18" s="1" t="s">
        <v>185</v>
      </c>
      <c r="F18" s="1">
        <v>5</v>
      </c>
      <c r="G18" s="1">
        <v>3</v>
      </c>
      <c r="H18" s="1">
        <v>2</v>
      </c>
      <c r="I18" s="1">
        <v>5</v>
      </c>
      <c r="J18" s="1">
        <v>5</v>
      </c>
      <c r="K18" s="1">
        <v>5</v>
      </c>
      <c r="L18" s="1">
        <v>5</v>
      </c>
      <c r="M18" s="1">
        <v>4</v>
      </c>
      <c r="N18" s="1">
        <v>4</v>
      </c>
      <c r="O18" s="1">
        <v>4</v>
      </c>
      <c r="P18" s="1">
        <v>2</v>
      </c>
      <c r="Q18" s="1">
        <v>3</v>
      </c>
      <c r="R18" s="1">
        <v>3</v>
      </c>
      <c r="S18" s="1">
        <v>4</v>
      </c>
      <c r="T18" s="1">
        <v>4</v>
      </c>
      <c r="U18" s="1">
        <v>4</v>
      </c>
      <c r="V18" s="1">
        <v>4</v>
      </c>
      <c r="W18" s="1">
        <v>4</v>
      </c>
      <c r="X18" s="1">
        <v>3</v>
      </c>
      <c r="Y18" s="1">
        <v>5</v>
      </c>
    </row>
    <row r="19" spans="1:27" ht="15.75" customHeight="1" x14ac:dyDescent="0.25">
      <c r="A19" s="2">
        <v>44176.654584027783</v>
      </c>
      <c r="B19" s="1" t="s">
        <v>188</v>
      </c>
      <c r="C19" s="1" t="s">
        <v>192</v>
      </c>
      <c r="D19" s="91" t="s">
        <v>190</v>
      </c>
      <c r="E19" s="1" t="s">
        <v>196</v>
      </c>
      <c r="F19" s="1">
        <v>5</v>
      </c>
      <c r="G19" s="1">
        <v>5</v>
      </c>
      <c r="H19" s="1">
        <v>3</v>
      </c>
      <c r="I19" s="1">
        <v>5</v>
      </c>
      <c r="J19" s="1">
        <v>4</v>
      </c>
      <c r="K19" s="1">
        <v>5</v>
      </c>
      <c r="L19" s="1">
        <v>5</v>
      </c>
      <c r="M19" s="1">
        <v>5</v>
      </c>
      <c r="N19" s="1">
        <v>5</v>
      </c>
      <c r="O19" s="1">
        <v>5</v>
      </c>
      <c r="P19" s="1">
        <v>1</v>
      </c>
      <c r="Q19" s="1">
        <v>5</v>
      </c>
      <c r="R19" s="1">
        <v>5</v>
      </c>
      <c r="S19" s="1">
        <v>4</v>
      </c>
      <c r="T19" s="1">
        <v>4</v>
      </c>
      <c r="U19" s="1">
        <v>3</v>
      </c>
      <c r="V19" s="1">
        <v>4</v>
      </c>
      <c r="W19" s="1">
        <v>5</v>
      </c>
      <c r="X19" s="1">
        <v>3</v>
      </c>
      <c r="Y19" s="1">
        <v>3</v>
      </c>
    </row>
    <row r="20" spans="1:27" ht="15.75" customHeight="1" x14ac:dyDescent="0.25">
      <c r="A20" s="2">
        <v>44176.666262800922</v>
      </c>
      <c r="B20" s="1" t="s">
        <v>188</v>
      </c>
      <c r="C20" s="1" t="s">
        <v>187</v>
      </c>
      <c r="D20" s="91" t="s">
        <v>185</v>
      </c>
      <c r="E20" s="1" t="s">
        <v>185</v>
      </c>
      <c r="F20" s="1">
        <v>5</v>
      </c>
      <c r="G20" s="1">
        <v>5</v>
      </c>
      <c r="H20" s="1">
        <v>5</v>
      </c>
      <c r="I20" s="1">
        <v>5</v>
      </c>
      <c r="J20" s="1">
        <v>5</v>
      </c>
      <c r="K20" s="1">
        <v>5</v>
      </c>
      <c r="L20" s="1">
        <v>5</v>
      </c>
      <c r="M20" s="1">
        <v>5</v>
      </c>
      <c r="N20" s="1">
        <v>5</v>
      </c>
      <c r="O20" s="1">
        <v>5</v>
      </c>
      <c r="P20" s="1">
        <v>1</v>
      </c>
      <c r="Q20" s="1">
        <v>5</v>
      </c>
      <c r="R20" s="1">
        <v>3</v>
      </c>
      <c r="S20" s="1">
        <v>4</v>
      </c>
      <c r="T20" s="1">
        <v>2</v>
      </c>
      <c r="U20" s="1">
        <v>5</v>
      </c>
      <c r="V20" s="1">
        <v>3</v>
      </c>
      <c r="W20" s="1">
        <v>4</v>
      </c>
      <c r="X20" s="1">
        <v>4</v>
      </c>
      <c r="Y20" s="1">
        <v>5</v>
      </c>
    </row>
    <row r="21" spans="1:27" ht="15.75" customHeight="1" x14ac:dyDescent="0.25">
      <c r="A21" s="2">
        <v>44176.666914270834</v>
      </c>
      <c r="B21" s="1" t="s">
        <v>183</v>
      </c>
      <c r="C21" s="1" t="s">
        <v>187</v>
      </c>
      <c r="D21" s="91" t="s">
        <v>185</v>
      </c>
      <c r="E21" s="1" t="s">
        <v>185</v>
      </c>
      <c r="F21" s="1">
        <v>4</v>
      </c>
      <c r="G21" s="1">
        <v>0</v>
      </c>
      <c r="H21" s="1">
        <v>0</v>
      </c>
      <c r="I21" s="1">
        <v>3</v>
      </c>
      <c r="J21" s="1">
        <v>3</v>
      </c>
      <c r="K21" s="1">
        <v>3</v>
      </c>
      <c r="L21" s="1">
        <v>4</v>
      </c>
      <c r="M21" s="1">
        <v>3</v>
      </c>
      <c r="N21" s="1">
        <v>3</v>
      </c>
      <c r="O21" s="1">
        <v>3</v>
      </c>
      <c r="P21" s="1">
        <v>0</v>
      </c>
      <c r="Q21" s="1">
        <v>4</v>
      </c>
      <c r="R21" s="1">
        <v>2</v>
      </c>
      <c r="S21" s="1">
        <v>2</v>
      </c>
      <c r="T21" s="1">
        <v>3</v>
      </c>
      <c r="U21" s="1">
        <v>3</v>
      </c>
      <c r="V21" s="1">
        <v>4</v>
      </c>
      <c r="W21" s="1">
        <v>4</v>
      </c>
      <c r="X21" s="1">
        <v>1</v>
      </c>
      <c r="Y21" s="1">
        <v>2</v>
      </c>
      <c r="Z21" s="1" t="s">
        <v>199</v>
      </c>
      <c r="AA21" s="1" t="s">
        <v>200</v>
      </c>
    </row>
    <row r="22" spans="1:27" ht="15.75" customHeight="1" x14ac:dyDescent="0.25">
      <c r="A22" s="2">
        <v>44176.667037395833</v>
      </c>
      <c r="B22" s="1" t="s">
        <v>189</v>
      </c>
      <c r="C22" s="1" t="s">
        <v>187</v>
      </c>
      <c r="D22" s="91">
        <v>2020</v>
      </c>
      <c r="E22" s="1" t="s">
        <v>191</v>
      </c>
      <c r="F22" s="1">
        <v>5</v>
      </c>
      <c r="G22" s="1">
        <v>5</v>
      </c>
      <c r="H22" s="1">
        <v>0</v>
      </c>
      <c r="I22" s="1">
        <v>5</v>
      </c>
      <c r="J22" s="1">
        <v>3</v>
      </c>
      <c r="K22" s="1">
        <v>4</v>
      </c>
      <c r="L22" s="1">
        <v>5</v>
      </c>
      <c r="M22" s="1">
        <v>5</v>
      </c>
      <c r="N22" s="1">
        <v>5</v>
      </c>
      <c r="O22" s="1">
        <v>5</v>
      </c>
      <c r="P22" s="1">
        <v>1</v>
      </c>
      <c r="Q22" s="1">
        <v>5</v>
      </c>
      <c r="R22" s="1">
        <v>5</v>
      </c>
      <c r="S22" s="1">
        <v>1</v>
      </c>
      <c r="T22" s="1">
        <v>3</v>
      </c>
      <c r="U22" s="1">
        <v>4</v>
      </c>
      <c r="V22" s="1">
        <v>5</v>
      </c>
      <c r="W22" s="1">
        <v>5</v>
      </c>
      <c r="X22" s="1">
        <v>1</v>
      </c>
      <c r="Y22" s="1">
        <v>1</v>
      </c>
    </row>
    <row r="23" spans="1:27" ht="15.75" customHeight="1" x14ac:dyDescent="0.25">
      <c r="A23" s="2">
        <v>44176.672289710652</v>
      </c>
      <c r="B23" s="1" t="s">
        <v>189</v>
      </c>
      <c r="C23" s="1" t="s">
        <v>187</v>
      </c>
      <c r="D23" s="91" t="s">
        <v>190</v>
      </c>
      <c r="E23" s="1" t="s">
        <v>191</v>
      </c>
      <c r="F23" s="1">
        <v>0</v>
      </c>
      <c r="G23" s="1">
        <v>0</v>
      </c>
      <c r="H23" s="1">
        <v>0</v>
      </c>
      <c r="I23" s="1">
        <v>5</v>
      </c>
      <c r="J23" s="1">
        <v>0</v>
      </c>
      <c r="K23" s="1">
        <v>4</v>
      </c>
      <c r="L23" s="1">
        <v>3</v>
      </c>
      <c r="M23" s="1">
        <v>4</v>
      </c>
      <c r="N23" s="1">
        <v>4</v>
      </c>
      <c r="O23" s="1">
        <v>4</v>
      </c>
      <c r="P23" s="1">
        <v>0</v>
      </c>
      <c r="Q23" s="1">
        <v>4</v>
      </c>
      <c r="R23" s="1">
        <v>2</v>
      </c>
      <c r="S23" s="1">
        <v>1</v>
      </c>
      <c r="T23" s="1">
        <v>0</v>
      </c>
      <c r="U23" s="1">
        <v>0</v>
      </c>
      <c r="V23" s="1">
        <v>0</v>
      </c>
      <c r="W23" s="1">
        <v>3</v>
      </c>
      <c r="X23" s="1">
        <v>0</v>
      </c>
      <c r="Y23" s="1">
        <v>0</v>
      </c>
    </row>
    <row r="24" spans="1:27" ht="15.75" customHeight="1" x14ac:dyDescent="0.25">
      <c r="A24" s="2">
        <v>44176.702032291665</v>
      </c>
      <c r="B24" s="1" t="s">
        <v>188</v>
      </c>
      <c r="C24" s="1" t="s">
        <v>187</v>
      </c>
      <c r="D24" s="91" t="s">
        <v>190</v>
      </c>
      <c r="E24" s="1" t="s">
        <v>196</v>
      </c>
      <c r="F24" s="1">
        <v>4</v>
      </c>
      <c r="G24" s="1">
        <v>0</v>
      </c>
      <c r="H24" s="1">
        <v>1</v>
      </c>
      <c r="I24" s="1">
        <v>4</v>
      </c>
      <c r="J24" s="1">
        <v>3</v>
      </c>
      <c r="K24" s="1">
        <v>3</v>
      </c>
      <c r="L24" s="1">
        <v>4</v>
      </c>
      <c r="M24" s="1">
        <v>4</v>
      </c>
      <c r="N24" s="1">
        <v>5</v>
      </c>
      <c r="O24" s="1">
        <v>4</v>
      </c>
      <c r="P24" s="1">
        <v>0</v>
      </c>
      <c r="Q24" s="1">
        <v>5</v>
      </c>
      <c r="R24" s="1">
        <v>5</v>
      </c>
      <c r="S24" s="1">
        <v>4</v>
      </c>
      <c r="T24" s="1">
        <v>5</v>
      </c>
      <c r="U24" s="1">
        <v>0</v>
      </c>
      <c r="V24" s="1">
        <v>4</v>
      </c>
      <c r="W24" s="1">
        <v>4</v>
      </c>
      <c r="X24" s="1">
        <v>4</v>
      </c>
      <c r="Y24" s="1">
        <v>4</v>
      </c>
    </row>
    <row r="25" spans="1:27" ht="15.75" customHeight="1" x14ac:dyDescent="0.25">
      <c r="A25" s="2">
        <v>44176.742384027777</v>
      </c>
      <c r="B25" s="1" t="s">
        <v>189</v>
      </c>
      <c r="C25" s="1" t="s">
        <v>187</v>
      </c>
      <c r="D25" s="91" t="s">
        <v>190</v>
      </c>
      <c r="E25" s="1" t="s">
        <v>194</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row>
    <row r="26" spans="1:27" ht="15.75" customHeight="1" x14ac:dyDescent="0.25">
      <c r="A26" s="2">
        <v>44274.470743321755</v>
      </c>
      <c r="B26" s="1" t="s">
        <v>188</v>
      </c>
      <c r="C26" s="1" t="s">
        <v>184</v>
      </c>
      <c r="D26" s="91" t="s">
        <v>185</v>
      </c>
      <c r="E26" s="1" t="s">
        <v>185</v>
      </c>
      <c r="F26" s="1">
        <v>5</v>
      </c>
      <c r="G26" s="1">
        <v>5</v>
      </c>
      <c r="H26" s="1">
        <v>5</v>
      </c>
      <c r="I26" s="1">
        <v>5</v>
      </c>
      <c r="J26" s="1">
        <v>5</v>
      </c>
      <c r="K26" s="1">
        <v>5</v>
      </c>
      <c r="L26" s="1">
        <v>5</v>
      </c>
      <c r="M26" s="1">
        <v>5</v>
      </c>
      <c r="N26" s="1">
        <v>5</v>
      </c>
      <c r="O26" s="1">
        <v>4</v>
      </c>
      <c r="P26" s="1">
        <v>4</v>
      </c>
      <c r="Q26" s="1">
        <v>5</v>
      </c>
      <c r="R26" s="1">
        <v>5</v>
      </c>
      <c r="S26" s="1">
        <v>3</v>
      </c>
      <c r="T26" s="1">
        <v>3</v>
      </c>
      <c r="U26" s="1">
        <v>5</v>
      </c>
      <c r="V26" s="1">
        <v>5</v>
      </c>
      <c r="W26" s="1">
        <v>4</v>
      </c>
      <c r="X26" s="1">
        <v>4</v>
      </c>
      <c r="Y26" s="1">
        <v>5</v>
      </c>
    </row>
    <row r="27" spans="1:27" ht="15.75" customHeight="1" x14ac:dyDescent="0.25">
      <c r="A27" s="2">
        <v>44176.764321354167</v>
      </c>
      <c r="B27" s="1" t="s">
        <v>183</v>
      </c>
      <c r="C27" s="1" t="s">
        <v>187</v>
      </c>
      <c r="D27" s="91" t="s">
        <v>185</v>
      </c>
      <c r="E27" s="1" t="s">
        <v>185</v>
      </c>
      <c r="F27" s="1">
        <v>4</v>
      </c>
      <c r="G27" s="1">
        <v>5</v>
      </c>
      <c r="H27" s="1">
        <v>3</v>
      </c>
      <c r="I27" s="1">
        <v>5</v>
      </c>
      <c r="J27" s="1">
        <v>2</v>
      </c>
      <c r="K27" s="1">
        <v>4</v>
      </c>
      <c r="L27" s="1">
        <v>3</v>
      </c>
      <c r="M27" s="1">
        <v>5</v>
      </c>
      <c r="N27" s="1">
        <v>5</v>
      </c>
      <c r="O27" s="1">
        <v>5</v>
      </c>
      <c r="P27" s="1">
        <v>2</v>
      </c>
      <c r="Q27" s="1">
        <v>4</v>
      </c>
      <c r="R27" s="1">
        <v>5</v>
      </c>
      <c r="S27" s="1">
        <v>4</v>
      </c>
      <c r="T27" s="1">
        <v>3</v>
      </c>
      <c r="U27" s="1">
        <v>3</v>
      </c>
      <c r="V27" s="1">
        <v>5</v>
      </c>
      <c r="W27" s="1">
        <v>4</v>
      </c>
      <c r="X27" s="1">
        <v>4</v>
      </c>
      <c r="Y27" s="1">
        <v>4</v>
      </c>
    </row>
    <row r="28" spans="1:27" ht="15.75" customHeight="1" x14ac:dyDescent="0.25">
      <c r="A28" s="2">
        <v>44176.798683738423</v>
      </c>
      <c r="B28" s="1" t="s">
        <v>189</v>
      </c>
      <c r="C28" s="1" t="s">
        <v>184</v>
      </c>
      <c r="D28" s="91" t="s">
        <v>190</v>
      </c>
      <c r="E28" s="1" t="s">
        <v>194</v>
      </c>
      <c r="F28" s="1">
        <v>0</v>
      </c>
      <c r="G28" s="1">
        <v>5</v>
      </c>
      <c r="H28" s="1">
        <v>1</v>
      </c>
      <c r="I28" s="1">
        <v>5</v>
      </c>
      <c r="J28" s="1">
        <v>5</v>
      </c>
      <c r="K28" s="1">
        <v>5</v>
      </c>
      <c r="L28" s="1">
        <v>5</v>
      </c>
      <c r="M28" s="1">
        <v>4</v>
      </c>
      <c r="N28" s="1">
        <v>5</v>
      </c>
      <c r="O28" s="1">
        <v>5</v>
      </c>
      <c r="P28" s="1">
        <v>1</v>
      </c>
      <c r="Q28" s="1">
        <v>5</v>
      </c>
      <c r="R28" s="1">
        <v>2</v>
      </c>
      <c r="S28" s="1">
        <v>2</v>
      </c>
      <c r="T28" s="1">
        <v>0</v>
      </c>
      <c r="U28" s="1">
        <v>1</v>
      </c>
      <c r="V28" s="1">
        <v>4</v>
      </c>
      <c r="W28" s="1">
        <v>0</v>
      </c>
      <c r="X28" s="1">
        <v>1</v>
      </c>
      <c r="Y28" s="1">
        <v>4</v>
      </c>
      <c r="AA28" s="1" t="s">
        <v>201</v>
      </c>
    </row>
    <row r="29" spans="1:27" ht="15.75" customHeight="1" x14ac:dyDescent="0.25">
      <c r="A29" s="2">
        <v>44176.799506782409</v>
      </c>
      <c r="B29" s="1" t="s">
        <v>183</v>
      </c>
      <c r="C29" s="1" t="s">
        <v>192</v>
      </c>
      <c r="D29" s="91" t="s">
        <v>185</v>
      </c>
      <c r="E29" s="1" t="s">
        <v>185</v>
      </c>
      <c r="F29" s="1">
        <v>3</v>
      </c>
      <c r="G29" s="1">
        <v>4</v>
      </c>
      <c r="H29" s="1">
        <v>4</v>
      </c>
      <c r="I29" s="1">
        <v>5</v>
      </c>
      <c r="J29" s="1">
        <v>4</v>
      </c>
      <c r="K29" s="1">
        <v>4</v>
      </c>
      <c r="L29" s="1">
        <v>4</v>
      </c>
      <c r="M29" s="1">
        <v>4</v>
      </c>
      <c r="N29" s="1">
        <v>4</v>
      </c>
      <c r="O29" s="1">
        <v>5</v>
      </c>
      <c r="P29" s="1">
        <v>3</v>
      </c>
      <c r="Q29" s="1">
        <v>4</v>
      </c>
      <c r="R29" s="1">
        <v>4</v>
      </c>
      <c r="S29" s="1">
        <v>2</v>
      </c>
      <c r="T29" s="1">
        <v>4</v>
      </c>
      <c r="U29" s="1">
        <v>3</v>
      </c>
      <c r="V29" s="1">
        <v>4</v>
      </c>
      <c r="W29" s="1">
        <v>4</v>
      </c>
      <c r="X29" s="1">
        <v>3</v>
      </c>
      <c r="Y29" s="1">
        <v>4</v>
      </c>
    </row>
    <row r="30" spans="1:27" ht="15.75" customHeight="1" x14ac:dyDescent="0.25">
      <c r="A30" s="2">
        <v>44274.591128888889</v>
      </c>
      <c r="B30" s="1" t="s">
        <v>189</v>
      </c>
      <c r="C30" s="1" t="s">
        <v>192</v>
      </c>
      <c r="D30" s="91" t="s">
        <v>190</v>
      </c>
      <c r="E30" s="1" t="s">
        <v>191</v>
      </c>
      <c r="F30" s="1">
        <v>5</v>
      </c>
      <c r="G30" s="1">
        <v>5</v>
      </c>
      <c r="H30" s="1">
        <v>5</v>
      </c>
      <c r="I30" s="1">
        <v>5</v>
      </c>
      <c r="J30" s="1">
        <v>5</v>
      </c>
      <c r="K30" s="1">
        <v>5</v>
      </c>
      <c r="L30" s="1">
        <v>5</v>
      </c>
      <c r="M30" s="1">
        <v>5</v>
      </c>
      <c r="N30" s="1">
        <v>5</v>
      </c>
      <c r="O30" s="1">
        <v>5</v>
      </c>
      <c r="P30" s="1">
        <v>5</v>
      </c>
      <c r="Q30" s="1">
        <v>5</v>
      </c>
      <c r="R30" s="1">
        <v>5</v>
      </c>
      <c r="S30" s="1">
        <v>5</v>
      </c>
      <c r="T30" s="1">
        <v>5</v>
      </c>
      <c r="U30" s="1">
        <v>5</v>
      </c>
      <c r="V30" s="1">
        <v>5</v>
      </c>
      <c r="W30" s="1">
        <v>5</v>
      </c>
      <c r="X30" s="1">
        <v>5</v>
      </c>
      <c r="Y30" s="1">
        <v>5</v>
      </c>
    </row>
    <row r="31" spans="1:27" ht="15.75" customHeight="1" x14ac:dyDescent="0.25">
      <c r="A31" s="2">
        <v>44176.922956435184</v>
      </c>
      <c r="B31" s="1" t="s">
        <v>189</v>
      </c>
      <c r="C31" s="1" t="s">
        <v>184</v>
      </c>
      <c r="D31" s="91" t="s">
        <v>190</v>
      </c>
      <c r="E31" s="1" t="s">
        <v>191</v>
      </c>
      <c r="F31" s="1">
        <v>0</v>
      </c>
      <c r="G31" s="1">
        <v>5</v>
      </c>
      <c r="H31" s="1">
        <v>5</v>
      </c>
      <c r="I31" s="1">
        <v>5</v>
      </c>
      <c r="J31" s="1">
        <v>5</v>
      </c>
      <c r="K31" s="1">
        <v>4</v>
      </c>
      <c r="L31" s="1">
        <v>5</v>
      </c>
      <c r="M31" s="1">
        <v>5</v>
      </c>
      <c r="N31" s="1">
        <v>5</v>
      </c>
      <c r="O31" s="1">
        <v>5</v>
      </c>
      <c r="P31" s="1">
        <v>0</v>
      </c>
      <c r="Q31" s="1">
        <v>5</v>
      </c>
      <c r="R31" s="1">
        <v>5</v>
      </c>
      <c r="S31" s="1">
        <v>4</v>
      </c>
      <c r="T31" s="1">
        <v>5</v>
      </c>
      <c r="U31" s="1">
        <v>0</v>
      </c>
      <c r="V31" s="1">
        <v>4</v>
      </c>
      <c r="W31" s="1">
        <v>5</v>
      </c>
      <c r="X31" s="1">
        <v>5</v>
      </c>
      <c r="Y31" s="1">
        <v>5</v>
      </c>
      <c r="AA31" s="1" t="s">
        <v>202</v>
      </c>
    </row>
    <row r="32" spans="1:27" ht="15.75" customHeight="1" x14ac:dyDescent="0.25">
      <c r="A32" s="2">
        <v>44177.242018344907</v>
      </c>
      <c r="B32" s="1" t="s">
        <v>189</v>
      </c>
      <c r="C32" s="1" t="s">
        <v>184</v>
      </c>
      <c r="D32" s="91" t="s">
        <v>190</v>
      </c>
      <c r="E32" s="1" t="s">
        <v>196</v>
      </c>
      <c r="F32" s="1">
        <v>0</v>
      </c>
      <c r="G32" s="1">
        <v>0</v>
      </c>
      <c r="H32" s="1">
        <v>0</v>
      </c>
      <c r="I32" s="1">
        <v>5</v>
      </c>
      <c r="J32" s="1">
        <v>5</v>
      </c>
      <c r="K32" s="1">
        <v>5</v>
      </c>
      <c r="L32" s="1">
        <v>5</v>
      </c>
      <c r="M32" s="1">
        <v>0</v>
      </c>
      <c r="N32" s="1">
        <v>0</v>
      </c>
      <c r="O32" s="1">
        <v>5</v>
      </c>
      <c r="P32" s="1">
        <v>0</v>
      </c>
      <c r="Q32" s="1">
        <v>0</v>
      </c>
      <c r="R32" s="1">
        <v>5</v>
      </c>
      <c r="S32" s="1">
        <v>0</v>
      </c>
      <c r="T32" s="1">
        <v>0</v>
      </c>
      <c r="U32" s="1">
        <v>0</v>
      </c>
      <c r="V32" s="1">
        <v>5</v>
      </c>
      <c r="W32" s="1">
        <v>5</v>
      </c>
      <c r="X32" s="1">
        <v>5</v>
      </c>
      <c r="Y32" s="1">
        <v>5</v>
      </c>
    </row>
    <row r="33" spans="1:27" ht="15.75" customHeight="1" x14ac:dyDescent="0.25">
      <c r="A33" s="2">
        <v>44177.470817754627</v>
      </c>
      <c r="B33" s="1" t="s">
        <v>183</v>
      </c>
      <c r="C33" s="1" t="s">
        <v>184</v>
      </c>
      <c r="D33" s="91" t="s">
        <v>185</v>
      </c>
      <c r="E33" s="1" t="s">
        <v>185</v>
      </c>
      <c r="F33" s="1">
        <v>0</v>
      </c>
      <c r="G33" s="1">
        <v>0</v>
      </c>
      <c r="H33" s="1">
        <v>0</v>
      </c>
      <c r="I33" s="1">
        <v>5</v>
      </c>
      <c r="J33" s="1">
        <v>4</v>
      </c>
      <c r="K33" s="1">
        <v>4</v>
      </c>
      <c r="L33" s="1">
        <v>0</v>
      </c>
      <c r="M33" s="1">
        <v>5</v>
      </c>
      <c r="N33" s="1">
        <v>5</v>
      </c>
      <c r="O33" s="1">
        <v>5</v>
      </c>
      <c r="P33" s="1">
        <v>0</v>
      </c>
      <c r="Q33" s="1">
        <v>5</v>
      </c>
      <c r="R33" s="1">
        <v>1</v>
      </c>
      <c r="S33" s="1">
        <v>4</v>
      </c>
      <c r="T33" s="1">
        <v>0</v>
      </c>
      <c r="U33" s="1">
        <v>4</v>
      </c>
      <c r="V33" s="1">
        <v>0</v>
      </c>
      <c r="W33" s="1">
        <v>0</v>
      </c>
      <c r="X33" s="1">
        <v>4</v>
      </c>
      <c r="Y33" s="1">
        <v>5</v>
      </c>
    </row>
    <row r="34" spans="1:27" ht="15.75" customHeight="1" x14ac:dyDescent="0.25">
      <c r="A34" s="2">
        <v>44177.511086527782</v>
      </c>
      <c r="B34" s="1" t="s">
        <v>183</v>
      </c>
      <c r="C34" s="1" t="s">
        <v>184</v>
      </c>
      <c r="D34" s="91" t="s">
        <v>185</v>
      </c>
      <c r="E34" s="1" t="s">
        <v>185</v>
      </c>
      <c r="F34" s="1">
        <v>4</v>
      </c>
      <c r="G34" s="1">
        <v>0</v>
      </c>
      <c r="H34" s="1">
        <v>0</v>
      </c>
      <c r="I34" s="1">
        <v>0</v>
      </c>
      <c r="J34" s="1">
        <v>0</v>
      </c>
      <c r="K34" s="1">
        <v>0</v>
      </c>
      <c r="L34" s="1">
        <v>0</v>
      </c>
      <c r="M34" s="1">
        <v>0</v>
      </c>
      <c r="N34" s="1">
        <v>4</v>
      </c>
      <c r="O34" s="1">
        <v>4</v>
      </c>
      <c r="P34" s="1">
        <v>0</v>
      </c>
      <c r="Q34" s="1">
        <v>4</v>
      </c>
      <c r="R34" s="1">
        <v>4</v>
      </c>
      <c r="S34" s="1">
        <v>3</v>
      </c>
      <c r="T34" s="1">
        <v>0</v>
      </c>
      <c r="U34" s="1">
        <v>3</v>
      </c>
      <c r="V34" s="1">
        <v>3</v>
      </c>
      <c r="W34" s="1">
        <v>4</v>
      </c>
      <c r="X34" s="1">
        <v>2</v>
      </c>
      <c r="Y34" s="1">
        <v>2</v>
      </c>
    </row>
    <row r="35" spans="1:27" ht="15.75" customHeight="1" x14ac:dyDescent="0.25">
      <c r="A35" s="2">
        <v>44177.682717962962</v>
      </c>
      <c r="B35" s="1" t="s">
        <v>183</v>
      </c>
      <c r="C35" s="1" t="s">
        <v>184</v>
      </c>
      <c r="D35" s="91" t="s">
        <v>185</v>
      </c>
      <c r="E35" s="1" t="s">
        <v>185</v>
      </c>
      <c r="F35" s="1">
        <v>5</v>
      </c>
      <c r="G35" s="1">
        <v>5</v>
      </c>
      <c r="H35" s="1">
        <v>4</v>
      </c>
      <c r="I35" s="1">
        <v>4</v>
      </c>
      <c r="J35" s="1">
        <v>3</v>
      </c>
      <c r="K35" s="1">
        <v>4</v>
      </c>
      <c r="L35" s="1">
        <v>5</v>
      </c>
      <c r="M35" s="1">
        <v>4</v>
      </c>
      <c r="N35" s="1">
        <v>4</v>
      </c>
      <c r="O35" s="1">
        <v>5</v>
      </c>
      <c r="P35" s="1">
        <v>4</v>
      </c>
      <c r="Q35" s="1">
        <v>5</v>
      </c>
      <c r="R35" s="1">
        <v>5</v>
      </c>
      <c r="S35" s="1">
        <v>3</v>
      </c>
      <c r="T35" s="1">
        <v>3</v>
      </c>
      <c r="U35" s="1">
        <v>3</v>
      </c>
      <c r="V35" s="1">
        <v>5</v>
      </c>
      <c r="W35" s="1">
        <v>5</v>
      </c>
      <c r="X35" s="1">
        <v>3</v>
      </c>
      <c r="Y35" s="1">
        <v>3</v>
      </c>
    </row>
    <row r="36" spans="1:27" ht="15.75" customHeight="1" x14ac:dyDescent="0.25">
      <c r="A36" s="2">
        <v>44177.726277361115</v>
      </c>
      <c r="B36" s="1" t="s">
        <v>183</v>
      </c>
      <c r="C36" s="1" t="s">
        <v>187</v>
      </c>
      <c r="D36" s="91" t="s">
        <v>185</v>
      </c>
      <c r="E36" s="1" t="s">
        <v>194</v>
      </c>
      <c r="F36" s="1">
        <v>5</v>
      </c>
      <c r="G36" s="1">
        <v>0</v>
      </c>
      <c r="H36" s="1">
        <v>0</v>
      </c>
      <c r="I36" s="1">
        <v>5</v>
      </c>
      <c r="J36" s="1">
        <v>0</v>
      </c>
      <c r="K36" s="1">
        <v>0</v>
      </c>
      <c r="L36" s="1">
        <v>3</v>
      </c>
      <c r="M36" s="1">
        <v>3</v>
      </c>
      <c r="N36" s="1">
        <v>3</v>
      </c>
      <c r="O36" s="1">
        <v>4</v>
      </c>
      <c r="P36" s="1">
        <v>1</v>
      </c>
      <c r="Q36" s="1">
        <v>0</v>
      </c>
      <c r="R36" s="1">
        <v>0</v>
      </c>
      <c r="S36" s="1">
        <v>2</v>
      </c>
      <c r="T36" s="1">
        <v>2</v>
      </c>
      <c r="U36" s="1">
        <v>3</v>
      </c>
      <c r="V36" s="1">
        <v>4</v>
      </c>
      <c r="W36" s="1">
        <v>3</v>
      </c>
      <c r="X36" s="1">
        <v>4</v>
      </c>
      <c r="Y36" s="1">
        <v>4</v>
      </c>
    </row>
    <row r="37" spans="1:27" ht="15.75" customHeight="1" x14ac:dyDescent="0.25">
      <c r="A37" s="2">
        <v>44177.820105497682</v>
      </c>
      <c r="B37" s="1" t="s">
        <v>189</v>
      </c>
      <c r="C37" s="1" t="s">
        <v>184</v>
      </c>
      <c r="D37" s="91" t="s">
        <v>190</v>
      </c>
      <c r="E37" s="1" t="s">
        <v>191</v>
      </c>
      <c r="F37" s="1">
        <v>0</v>
      </c>
      <c r="G37" s="1">
        <v>0</v>
      </c>
      <c r="H37" s="1">
        <v>0</v>
      </c>
      <c r="I37" s="1">
        <v>0</v>
      </c>
      <c r="J37" s="1">
        <v>3</v>
      </c>
      <c r="K37" s="1">
        <v>2</v>
      </c>
      <c r="L37" s="1">
        <v>3</v>
      </c>
      <c r="M37" s="1">
        <v>1</v>
      </c>
      <c r="N37" s="1">
        <v>1</v>
      </c>
      <c r="O37" s="1">
        <v>4</v>
      </c>
      <c r="P37" s="1">
        <v>0</v>
      </c>
      <c r="Q37" s="1">
        <v>2</v>
      </c>
      <c r="R37" s="1">
        <v>2</v>
      </c>
      <c r="S37" s="1">
        <v>2</v>
      </c>
      <c r="T37" s="1">
        <v>0</v>
      </c>
      <c r="U37" s="1">
        <v>0</v>
      </c>
      <c r="V37" s="1">
        <v>0</v>
      </c>
      <c r="W37" s="1">
        <v>0</v>
      </c>
      <c r="X37" s="1">
        <v>2</v>
      </c>
      <c r="Y37" s="1">
        <v>3</v>
      </c>
    </row>
    <row r="38" spans="1:27" ht="15.75" customHeight="1" x14ac:dyDescent="0.25">
      <c r="A38" s="2">
        <v>44178.314247835646</v>
      </c>
      <c r="B38" s="1" t="s">
        <v>189</v>
      </c>
      <c r="C38" s="1" t="s">
        <v>192</v>
      </c>
      <c r="D38" s="91">
        <v>2020</v>
      </c>
      <c r="E38" s="1" t="s">
        <v>194</v>
      </c>
      <c r="F38" s="1">
        <v>1</v>
      </c>
      <c r="G38" s="1">
        <v>1</v>
      </c>
      <c r="H38" s="1">
        <v>1</v>
      </c>
      <c r="I38" s="1">
        <v>1</v>
      </c>
      <c r="J38" s="1">
        <v>1</v>
      </c>
      <c r="K38" s="1">
        <v>1</v>
      </c>
      <c r="L38" s="1">
        <v>5</v>
      </c>
      <c r="M38" s="1">
        <v>2</v>
      </c>
      <c r="N38" s="1">
        <v>3</v>
      </c>
      <c r="O38" s="1">
        <v>5</v>
      </c>
      <c r="P38" s="1">
        <v>0</v>
      </c>
      <c r="Q38" s="1">
        <v>5</v>
      </c>
      <c r="R38" s="1">
        <v>0</v>
      </c>
      <c r="S38" s="1">
        <v>5</v>
      </c>
      <c r="T38" s="1">
        <v>0</v>
      </c>
      <c r="U38" s="1">
        <v>0</v>
      </c>
      <c r="V38" s="1">
        <v>5</v>
      </c>
      <c r="W38" s="1">
        <v>4</v>
      </c>
      <c r="X38" s="1">
        <v>1</v>
      </c>
      <c r="Y38" s="1">
        <v>1</v>
      </c>
    </row>
    <row r="39" spans="1:27" ht="15.75" customHeight="1" x14ac:dyDescent="0.25">
      <c r="A39" s="2">
        <v>44178.37514650463</v>
      </c>
      <c r="B39" s="1" t="s">
        <v>189</v>
      </c>
      <c r="C39" s="1" t="s">
        <v>184</v>
      </c>
      <c r="D39" s="91">
        <v>2019</v>
      </c>
      <c r="E39" s="1" t="s">
        <v>191</v>
      </c>
      <c r="F39" s="1">
        <v>4</v>
      </c>
      <c r="G39" s="1">
        <v>4</v>
      </c>
      <c r="H39" s="1">
        <v>2</v>
      </c>
      <c r="I39" s="1">
        <v>5</v>
      </c>
      <c r="J39" s="1">
        <v>4</v>
      </c>
      <c r="K39" s="1">
        <v>3</v>
      </c>
      <c r="L39" s="1">
        <v>4</v>
      </c>
      <c r="M39" s="1">
        <v>4</v>
      </c>
      <c r="N39" s="1">
        <v>4</v>
      </c>
      <c r="O39" s="1">
        <v>4</v>
      </c>
      <c r="P39" s="1">
        <v>3</v>
      </c>
      <c r="Q39" s="1">
        <v>4</v>
      </c>
      <c r="R39" s="1">
        <v>4</v>
      </c>
      <c r="S39" s="1">
        <v>4</v>
      </c>
      <c r="T39" s="1">
        <v>4</v>
      </c>
      <c r="U39" s="1">
        <v>0</v>
      </c>
      <c r="V39" s="1">
        <v>4</v>
      </c>
      <c r="W39" s="1">
        <v>4</v>
      </c>
      <c r="X39" s="1">
        <v>4</v>
      </c>
      <c r="Y39" s="1">
        <v>4</v>
      </c>
    </row>
    <row r="40" spans="1:27" ht="15.75" customHeight="1" x14ac:dyDescent="0.25">
      <c r="A40" s="2">
        <v>44178.419178472221</v>
      </c>
      <c r="B40" s="1" t="s">
        <v>189</v>
      </c>
      <c r="C40" s="1" t="s">
        <v>184</v>
      </c>
      <c r="D40" s="91" t="s">
        <v>190</v>
      </c>
      <c r="E40" s="1" t="s">
        <v>196</v>
      </c>
      <c r="F40" s="1">
        <v>0</v>
      </c>
      <c r="G40" s="1">
        <v>0</v>
      </c>
      <c r="H40" s="1">
        <v>0</v>
      </c>
      <c r="I40" s="1">
        <v>0</v>
      </c>
      <c r="J40" s="1">
        <v>0</v>
      </c>
      <c r="K40" s="1">
        <v>5</v>
      </c>
      <c r="L40" s="1">
        <v>4</v>
      </c>
      <c r="M40" s="1">
        <v>0</v>
      </c>
      <c r="N40" s="1">
        <v>4</v>
      </c>
      <c r="O40" s="1">
        <v>4</v>
      </c>
      <c r="P40" s="1">
        <v>0</v>
      </c>
      <c r="Q40" s="1">
        <v>0</v>
      </c>
      <c r="R40" s="1">
        <v>1</v>
      </c>
      <c r="S40" s="1">
        <v>4</v>
      </c>
      <c r="T40" s="1">
        <v>0</v>
      </c>
      <c r="U40" s="1">
        <v>0</v>
      </c>
      <c r="V40" s="1">
        <v>4</v>
      </c>
      <c r="W40" s="1">
        <v>3</v>
      </c>
      <c r="X40" s="1">
        <v>4</v>
      </c>
      <c r="Y40" s="1">
        <v>3</v>
      </c>
    </row>
    <row r="41" spans="1:27" ht="15.75" customHeight="1" x14ac:dyDescent="0.25">
      <c r="A41" s="2">
        <v>44178.635586990742</v>
      </c>
      <c r="B41" s="1" t="s">
        <v>183</v>
      </c>
      <c r="C41" s="1" t="s">
        <v>192</v>
      </c>
      <c r="D41" s="91" t="s">
        <v>190</v>
      </c>
      <c r="E41" s="1" t="s">
        <v>194</v>
      </c>
      <c r="F41" s="1">
        <v>1</v>
      </c>
      <c r="G41" s="1">
        <v>5</v>
      </c>
      <c r="H41" s="1">
        <v>4</v>
      </c>
      <c r="I41" s="1">
        <v>5</v>
      </c>
      <c r="J41" s="1">
        <v>5</v>
      </c>
      <c r="K41" s="1">
        <v>5</v>
      </c>
      <c r="L41" s="1">
        <v>5</v>
      </c>
      <c r="M41" s="1">
        <v>5</v>
      </c>
      <c r="N41" s="1">
        <v>5</v>
      </c>
      <c r="O41" s="1">
        <v>5</v>
      </c>
      <c r="P41" s="1">
        <v>0</v>
      </c>
      <c r="Q41" s="1">
        <v>4</v>
      </c>
      <c r="R41" s="1">
        <v>4</v>
      </c>
      <c r="S41" s="1">
        <v>4</v>
      </c>
      <c r="T41" s="1">
        <v>5</v>
      </c>
      <c r="U41" s="1">
        <v>5</v>
      </c>
      <c r="V41" s="1">
        <v>5</v>
      </c>
      <c r="W41" s="1">
        <v>5</v>
      </c>
      <c r="X41" s="1">
        <v>1</v>
      </c>
      <c r="Y41" s="1">
        <v>2</v>
      </c>
      <c r="Z41" s="1" t="s">
        <v>203</v>
      </c>
    </row>
    <row r="42" spans="1:27" ht="15.75" customHeight="1" x14ac:dyDescent="0.25">
      <c r="A42" s="2">
        <v>44179.293013414353</v>
      </c>
      <c r="B42" s="1" t="s">
        <v>183</v>
      </c>
      <c r="C42" s="1" t="s">
        <v>184</v>
      </c>
      <c r="D42" s="91" t="s">
        <v>185</v>
      </c>
      <c r="E42" s="1" t="s">
        <v>185</v>
      </c>
      <c r="F42" s="1">
        <v>5</v>
      </c>
      <c r="G42" s="1">
        <v>0</v>
      </c>
      <c r="H42" s="1">
        <v>0</v>
      </c>
      <c r="I42" s="1">
        <v>5</v>
      </c>
      <c r="J42" s="1">
        <v>0</v>
      </c>
      <c r="K42" s="1">
        <v>0</v>
      </c>
      <c r="L42" s="1">
        <v>5</v>
      </c>
      <c r="M42" s="1">
        <v>5</v>
      </c>
      <c r="N42" s="1">
        <v>5</v>
      </c>
      <c r="O42" s="1">
        <v>5</v>
      </c>
      <c r="P42" s="1">
        <v>0</v>
      </c>
      <c r="Q42" s="1">
        <v>3</v>
      </c>
      <c r="R42" s="1">
        <v>5</v>
      </c>
      <c r="S42" s="1">
        <v>3</v>
      </c>
      <c r="T42" s="1">
        <v>5</v>
      </c>
      <c r="U42" s="1">
        <v>0</v>
      </c>
      <c r="V42" s="1">
        <v>5</v>
      </c>
      <c r="W42" s="1">
        <v>5</v>
      </c>
      <c r="X42" s="1">
        <v>3</v>
      </c>
      <c r="Y42" s="1">
        <v>5</v>
      </c>
      <c r="AA42" s="1" t="s">
        <v>204</v>
      </c>
    </row>
    <row r="43" spans="1:27" ht="15.75" customHeight="1" x14ac:dyDescent="0.25">
      <c r="A43" s="2">
        <v>44179.400142986109</v>
      </c>
      <c r="B43" s="1" t="s">
        <v>189</v>
      </c>
      <c r="C43" s="1" t="s">
        <v>192</v>
      </c>
      <c r="D43" s="91" t="s">
        <v>190</v>
      </c>
      <c r="E43" s="1" t="s">
        <v>191</v>
      </c>
      <c r="F43" s="1">
        <v>0</v>
      </c>
      <c r="G43" s="1">
        <v>0</v>
      </c>
      <c r="H43" s="1">
        <v>0</v>
      </c>
      <c r="I43" s="1">
        <v>0</v>
      </c>
      <c r="J43" s="1">
        <v>0</v>
      </c>
      <c r="K43" s="1">
        <v>0</v>
      </c>
      <c r="L43" s="1">
        <v>5</v>
      </c>
      <c r="M43" s="1">
        <v>0</v>
      </c>
      <c r="N43" s="1">
        <v>0</v>
      </c>
      <c r="O43" s="1">
        <v>0</v>
      </c>
      <c r="P43" s="1">
        <v>0</v>
      </c>
      <c r="Q43" s="1">
        <v>0</v>
      </c>
      <c r="R43" s="1">
        <v>0</v>
      </c>
      <c r="S43" s="1">
        <v>0</v>
      </c>
      <c r="T43" s="1">
        <v>0</v>
      </c>
      <c r="U43" s="1">
        <v>0</v>
      </c>
      <c r="V43" s="1">
        <v>0</v>
      </c>
      <c r="W43" s="1">
        <v>0</v>
      </c>
      <c r="X43" s="1">
        <v>0</v>
      </c>
      <c r="Y43" s="1">
        <v>0</v>
      </c>
    </row>
    <row r="44" spans="1:27" ht="15.75" customHeight="1" x14ac:dyDescent="0.25">
      <c r="A44" s="2">
        <v>44179.4596652662</v>
      </c>
      <c r="B44" s="1" t="s">
        <v>183</v>
      </c>
      <c r="C44" s="1" t="s">
        <v>187</v>
      </c>
      <c r="D44" s="91" t="s">
        <v>185</v>
      </c>
      <c r="E44" s="1" t="s">
        <v>185</v>
      </c>
      <c r="F44" s="1">
        <v>3</v>
      </c>
      <c r="G44" s="1">
        <v>4</v>
      </c>
      <c r="H44" s="1">
        <v>4</v>
      </c>
      <c r="I44" s="1">
        <v>5</v>
      </c>
      <c r="J44" s="1">
        <v>5</v>
      </c>
      <c r="K44" s="1">
        <v>5</v>
      </c>
      <c r="L44" s="1">
        <v>5</v>
      </c>
      <c r="M44" s="1">
        <v>4</v>
      </c>
      <c r="N44" s="1">
        <v>4</v>
      </c>
      <c r="O44" s="1">
        <v>3</v>
      </c>
      <c r="P44" s="1">
        <v>3</v>
      </c>
      <c r="Q44" s="1">
        <v>5</v>
      </c>
      <c r="R44" s="1">
        <v>5</v>
      </c>
      <c r="S44" s="1">
        <v>2</v>
      </c>
      <c r="T44" s="1">
        <v>5</v>
      </c>
      <c r="U44" s="1">
        <v>5</v>
      </c>
      <c r="V44" s="1">
        <v>4</v>
      </c>
      <c r="W44" s="1">
        <v>4</v>
      </c>
      <c r="X44" s="1">
        <v>3</v>
      </c>
      <c r="Y44" s="1">
        <v>4</v>
      </c>
    </row>
    <row r="45" spans="1:27" x14ac:dyDescent="0.25">
      <c r="A45" s="2">
        <v>44179.46838539352</v>
      </c>
      <c r="B45" s="1" t="s">
        <v>189</v>
      </c>
      <c r="C45" s="1" t="s">
        <v>184</v>
      </c>
      <c r="D45" s="91">
        <v>2017</v>
      </c>
      <c r="E45" s="1" t="s">
        <v>191</v>
      </c>
      <c r="F45" s="1">
        <v>5</v>
      </c>
      <c r="G45" s="1">
        <v>5</v>
      </c>
      <c r="H45" s="1">
        <v>4</v>
      </c>
      <c r="I45" s="1">
        <v>5</v>
      </c>
      <c r="J45" s="1">
        <v>5</v>
      </c>
      <c r="K45" s="1">
        <v>5</v>
      </c>
      <c r="L45" s="1">
        <v>5</v>
      </c>
      <c r="M45" s="1">
        <v>5</v>
      </c>
      <c r="N45" s="1">
        <v>5</v>
      </c>
      <c r="O45" s="1">
        <v>5</v>
      </c>
      <c r="P45" s="1">
        <v>3</v>
      </c>
      <c r="Q45" s="1">
        <v>5</v>
      </c>
      <c r="R45" s="1">
        <v>5</v>
      </c>
      <c r="S45" s="1">
        <v>5</v>
      </c>
      <c r="T45" s="1">
        <v>5</v>
      </c>
      <c r="U45" s="1">
        <v>5</v>
      </c>
      <c r="V45" s="1">
        <v>5</v>
      </c>
      <c r="W45" s="1">
        <v>5</v>
      </c>
      <c r="X45" s="1">
        <v>5</v>
      </c>
      <c r="Y45" s="1">
        <v>5</v>
      </c>
    </row>
    <row r="46" spans="1:27" x14ac:dyDescent="0.25">
      <c r="A46" s="2">
        <v>44179.552150636577</v>
      </c>
      <c r="B46" s="1" t="s">
        <v>189</v>
      </c>
      <c r="C46" s="1" t="s">
        <v>187</v>
      </c>
      <c r="D46" s="91">
        <v>2019</v>
      </c>
      <c r="E46" s="1" t="s">
        <v>191</v>
      </c>
      <c r="F46" s="1">
        <v>0</v>
      </c>
      <c r="G46" s="1">
        <v>0</v>
      </c>
      <c r="H46" s="1">
        <v>0</v>
      </c>
      <c r="I46" s="1">
        <v>5</v>
      </c>
      <c r="J46" s="1">
        <v>0</v>
      </c>
      <c r="K46" s="1">
        <v>4</v>
      </c>
      <c r="L46" s="1">
        <v>5</v>
      </c>
      <c r="M46" s="1">
        <v>0</v>
      </c>
      <c r="N46" s="1">
        <v>0</v>
      </c>
      <c r="O46" s="1">
        <v>4</v>
      </c>
      <c r="P46" s="1">
        <v>0</v>
      </c>
      <c r="Q46" s="1">
        <v>5</v>
      </c>
      <c r="R46" s="1">
        <v>0</v>
      </c>
      <c r="S46" s="1">
        <v>4</v>
      </c>
      <c r="T46" s="1">
        <v>0</v>
      </c>
      <c r="U46" s="1">
        <v>0</v>
      </c>
      <c r="V46" s="1">
        <v>0</v>
      </c>
      <c r="W46" s="1">
        <v>0</v>
      </c>
      <c r="X46" s="1">
        <v>4</v>
      </c>
      <c r="Y46" s="1">
        <v>0</v>
      </c>
      <c r="AA46" s="1"/>
    </row>
    <row r="47" spans="1:27" x14ac:dyDescent="0.25">
      <c r="A47" s="2">
        <v>44179.55655238426</v>
      </c>
      <c r="B47" s="1" t="s">
        <v>183</v>
      </c>
      <c r="C47" s="1" t="s">
        <v>192</v>
      </c>
      <c r="D47" s="91" t="s">
        <v>185</v>
      </c>
      <c r="E47" s="1" t="s">
        <v>185</v>
      </c>
      <c r="F47" s="1">
        <v>0</v>
      </c>
      <c r="G47" s="1">
        <v>0</v>
      </c>
      <c r="H47" s="1">
        <v>0</v>
      </c>
      <c r="I47" s="1">
        <v>0</v>
      </c>
      <c r="J47" s="1">
        <v>0</v>
      </c>
      <c r="K47" s="1">
        <v>4</v>
      </c>
      <c r="L47" s="1">
        <v>5</v>
      </c>
      <c r="M47" s="1">
        <v>4</v>
      </c>
      <c r="N47" s="1">
        <v>4</v>
      </c>
      <c r="O47" s="1">
        <v>4</v>
      </c>
      <c r="P47" s="1">
        <v>0</v>
      </c>
      <c r="Q47" s="1">
        <v>4</v>
      </c>
      <c r="R47" s="1">
        <v>4</v>
      </c>
      <c r="S47" s="1">
        <v>0</v>
      </c>
      <c r="T47" s="1">
        <v>0</v>
      </c>
      <c r="U47" s="1">
        <v>1</v>
      </c>
      <c r="V47" s="1">
        <v>1</v>
      </c>
      <c r="W47" s="1">
        <v>0</v>
      </c>
      <c r="X47" s="1">
        <v>0</v>
      </c>
      <c r="Y47" s="1">
        <v>0</v>
      </c>
    </row>
    <row r="48" spans="1:27" x14ac:dyDescent="0.25">
      <c r="A48" s="2">
        <v>44179.61563054398</v>
      </c>
      <c r="B48" s="1" t="s">
        <v>183</v>
      </c>
      <c r="C48" s="1" t="s">
        <v>187</v>
      </c>
      <c r="D48" s="91" t="s">
        <v>185</v>
      </c>
      <c r="E48" s="1" t="s">
        <v>185</v>
      </c>
      <c r="F48" s="1">
        <v>5</v>
      </c>
      <c r="G48" s="1">
        <v>5</v>
      </c>
      <c r="H48" s="1">
        <v>0</v>
      </c>
      <c r="I48" s="1">
        <v>5</v>
      </c>
      <c r="J48" s="1">
        <v>4</v>
      </c>
      <c r="K48" s="1">
        <v>0</v>
      </c>
      <c r="L48" s="1">
        <v>5</v>
      </c>
      <c r="M48" s="1">
        <v>5</v>
      </c>
      <c r="N48" s="1">
        <v>5</v>
      </c>
      <c r="O48" s="1">
        <v>5</v>
      </c>
      <c r="P48" s="1">
        <v>3</v>
      </c>
      <c r="Q48" s="1">
        <v>5</v>
      </c>
      <c r="R48" s="1">
        <v>5</v>
      </c>
      <c r="S48" s="1">
        <v>0</v>
      </c>
      <c r="T48" s="1">
        <v>0</v>
      </c>
      <c r="U48" s="1">
        <v>5</v>
      </c>
      <c r="V48" s="1">
        <v>5</v>
      </c>
      <c r="W48" s="1">
        <v>5</v>
      </c>
      <c r="X48" s="1">
        <v>5</v>
      </c>
      <c r="Y48" s="1">
        <v>5</v>
      </c>
    </row>
    <row r="49" spans="1:27" x14ac:dyDescent="0.25">
      <c r="A49" s="2">
        <v>44179.659925115746</v>
      </c>
      <c r="B49" s="1" t="s">
        <v>189</v>
      </c>
      <c r="C49" s="1" t="s">
        <v>184</v>
      </c>
      <c r="D49" s="91">
        <v>2019</v>
      </c>
      <c r="E49" s="1" t="s">
        <v>191</v>
      </c>
      <c r="F49" s="1">
        <v>5</v>
      </c>
      <c r="G49" s="1">
        <v>5</v>
      </c>
      <c r="H49" s="1">
        <v>5</v>
      </c>
      <c r="I49" s="1">
        <v>5</v>
      </c>
      <c r="J49" s="1">
        <v>4</v>
      </c>
      <c r="K49" s="1">
        <v>4</v>
      </c>
      <c r="L49" s="1">
        <v>5</v>
      </c>
      <c r="M49" s="1">
        <v>5</v>
      </c>
      <c r="N49" s="1">
        <v>5</v>
      </c>
      <c r="O49" s="1">
        <v>5</v>
      </c>
      <c r="P49" s="1">
        <v>4</v>
      </c>
      <c r="Q49" s="1">
        <v>5</v>
      </c>
      <c r="R49" s="1">
        <v>5</v>
      </c>
      <c r="S49" s="1">
        <v>5</v>
      </c>
      <c r="T49" s="1">
        <v>0</v>
      </c>
      <c r="U49" s="1">
        <v>0</v>
      </c>
      <c r="V49" s="1">
        <v>0</v>
      </c>
      <c r="W49" s="1">
        <v>0</v>
      </c>
      <c r="X49" s="1">
        <v>4</v>
      </c>
      <c r="Y49" s="1">
        <v>4</v>
      </c>
      <c r="AA49" s="1" t="s">
        <v>205</v>
      </c>
    </row>
    <row r="50" spans="1:27" x14ac:dyDescent="0.25">
      <c r="A50" s="2">
        <v>44180.437932407411</v>
      </c>
      <c r="B50" s="1" t="s">
        <v>189</v>
      </c>
      <c r="C50" s="1" t="s">
        <v>184</v>
      </c>
      <c r="D50" s="91">
        <v>2017</v>
      </c>
      <c r="E50" s="1" t="s">
        <v>194</v>
      </c>
      <c r="F50" s="1">
        <v>0</v>
      </c>
      <c r="G50" s="1">
        <v>0</v>
      </c>
      <c r="H50" s="1">
        <v>0</v>
      </c>
      <c r="I50" s="1">
        <v>4</v>
      </c>
      <c r="J50" s="1">
        <v>3</v>
      </c>
      <c r="K50" s="1">
        <v>2</v>
      </c>
      <c r="L50" s="1">
        <v>2</v>
      </c>
      <c r="M50" s="1">
        <v>0</v>
      </c>
      <c r="N50" s="1">
        <v>4</v>
      </c>
      <c r="O50" s="1">
        <v>5</v>
      </c>
      <c r="P50" s="1">
        <v>0</v>
      </c>
      <c r="Q50" s="1">
        <v>4</v>
      </c>
      <c r="R50" s="1">
        <v>4</v>
      </c>
      <c r="S50" s="1">
        <v>2</v>
      </c>
      <c r="T50" s="1">
        <v>4</v>
      </c>
      <c r="U50" s="1">
        <v>4</v>
      </c>
      <c r="V50" s="1">
        <v>5</v>
      </c>
      <c r="W50" s="1">
        <v>5</v>
      </c>
      <c r="X50" s="1">
        <v>5</v>
      </c>
      <c r="Y50" s="1">
        <v>5</v>
      </c>
    </row>
    <row r="51" spans="1:27" x14ac:dyDescent="0.25">
      <c r="A51" s="2">
        <v>44180.459347083335</v>
      </c>
      <c r="B51" s="1" t="s">
        <v>189</v>
      </c>
      <c r="C51" s="1" t="s">
        <v>187</v>
      </c>
      <c r="D51" s="91">
        <v>2020</v>
      </c>
      <c r="E51" s="1" t="s">
        <v>194</v>
      </c>
      <c r="F51" s="1">
        <v>5</v>
      </c>
      <c r="G51" s="1">
        <v>0</v>
      </c>
      <c r="H51" s="1">
        <v>1</v>
      </c>
      <c r="I51" s="1">
        <v>3</v>
      </c>
      <c r="J51" s="1">
        <v>2</v>
      </c>
      <c r="K51" s="1">
        <v>1</v>
      </c>
      <c r="L51" s="1">
        <v>4</v>
      </c>
      <c r="M51" s="1">
        <v>5</v>
      </c>
      <c r="N51" s="1">
        <v>5</v>
      </c>
      <c r="O51" s="1">
        <v>4</v>
      </c>
      <c r="P51" s="1">
        <v>1</v>
      </c>
      <c r="Q51" s="1">
        <v>5</v>
      </c>
      <c r="R51" s="1">
        <v>5</v>
      </c>
      <c r="S51" s="1">
        <v>4</v>
      </c>
      <c r="T51" s="1">
        <v>3</v>
      </c>
      <c r="U51" s="1">
        <v>0</v>
      </c>
      <c r="V51" s="1">
        <v>4</v>
      </c>
      <c r="W51" s="1">
        <v>4</v>
      </c>
      <c r="X51" s="1">
        <v>1</v>
      </c>
      <c r="Y51" s="1">
        <v>3</v>
      </c>
    </row>
    <row r="52" spans="1:27" x14ac:dyDescent="0.25">
      <c r="A52" s="2">
        <v>44180.593846574076</v>
      </c>
      <c r="B52" s="1" t="s">
        <v>183</v>
      </c>
      <c r="C52" s="1" t="s">
        <v>192</v>
      </c>
      <c r="D52" s="91" t="s">
        <v>185</v>
      </c>
      <c r="E52" s="1" t="s">
        <v>185</v>
      </c>
      <c r="F52" s="1">
        <v>3</v>
      </c>
      <c r="G52" s="1">
        <v>3</v>
      </c>
      <c r="H52" s="1">
        <v>0</v>
      </c>
      <c r="I52" s="1">
        <v>4</v>
      </c>
      <c r="J52" s="1">
        <v>0</v>
      </c>
      <c r="K52" s="1">
        <v>0</v>
      </c>
      <c r="L52" s="1">
        <v>0</v>
      </c>
      <c r="M52" s="1">
        <v>5</v>
      </c>
      <c r="N52" s="1">
        <v>5</v>
      </c>
      <c r="O52" s="1">
        <v>5</v>
      </c>
      <c r="P52" s="1">
        <v>0</v>
      </c>
      <c r="Q52" s="1">
        <v>5</v>
      </c>
      <c r="R52" s="1">
        <v>0</v>
      </c>
      <c r="S52" s="1">
        <v>4</v>
      </c>
      <c r="T52" s="1">
        <v>3</v>
      </c>
      <c r="U52" s="1">
        <v>5</v>
      </c>
      <c r="V52" s="1">
        <v>5</v>
      </c>
      <c r="W52" s="1">
        <v>5</v>
      </c>
      <c r="X52" s="1">
        <v>2</v>
      </c>
      <c r="Y52" s="1">
        <v>2</v>
      </c>
    </row>
    <row r="53" spans="1:27" x14ac:dyDescent="0.25">
      <c r="A53" s="2">
        <v>44180.713924351847</v>
      </c>
      <c r="B53" s="1" t="s">
        <v>183</v>
      </c>
      <c r="C53" s="1" t="s">
        <v>187</v>
      </c>
      <c r="D53" s="91" t="s">
        <v>185</v>
      </c>
      <c r="E53" s="1" t="s">
        <v>185</v>
      </c>
      <c r="F53" s="1">
        <v>0</v>
      </c>
      <c r="G53" s="1">
        <v>5</v>
      </c>
      <c r="H53" s="1">
        <v>5</v>
      </c>
      <c r="I53" s="1">
        <v>5</v>
      </c>
      <c r="J53" s="1">
        <v>5</v>
      </c>
      <c r="K53" s="1">
        <v>5</v>
      </c>
      <c r="L53" s="1">
        <v>5</v>
      </c>
      <c r="M53" s="1">
        <v>5</v>
      </c>
      <c r="N53" s="1">
        <v>5</v>
      </c>
      <c r="O53" s="1">
        <v>5</v>
      </c>
      <c r="P53" s="1">
        <v>1</v>
      </c>
      <c r="Q53" s="1">
        <v>4</v>
      </c>
      <c r="R53" s="1">
        <v>4</v>
      </c>
      <c r="S53" s="1">
        <v>5</v>
      </c>
      <c r="T53" s="1">
        <v>5</v>
      </c>
      <c r="U53" s="1">
        <v>5</v>
      </c>
      <c r="V53" s="1">
        <v>5</v>
      </c>
      <c r="W53" s="1">
        <v>3</v>
      </c>
      <c r="X53" s="1">
        <v>4</v>
      </c>
      <c r="Y53" s="1">
        <v>4</v>
      </c>
    </row>
    <row r="54" spans="1:27" x14ac:dyDescent="0.25">
      <c r="A54" s="2">
        <v>44181.341144340273</v>
      </c>
      <c r="B54" s="1" t="s">
        <v>183</v>
      </c>
      <c r="C54" s="1" t="s">
        <v>187</v>
      </c>
      <c r="D54" s="91" t="s">
        <v>185</v>
      </c>
      <c r="E54" s="1" t="s">
        <v>185</v>
      </c>
      <c r="F54" s="1">
        <v>4</v>
      </c>
      <c r="G54" s="1">
        <v>4</v>
      </c>
      <c r="H54" s="1">
        <v>4</v>
      </c>
      <c r="I54" s="1">
        <v>5</v>
      </c>
      <c r="J54" s="1">
        <v>4</v>
      </c>
      <c r="K54" s="1">
        <v>5</v>
      </c>
      <c r="L54" s="1">
        <v>5</v>
      </c>
      <c r="M54" s="1">
        <v>5</v>
      </c>
      <c r="N54" s="1">
        <v>5</v>
      </c>
      <c r="O54" s="1">
        <v>5</v>
      </c>
      <c r="P54" s="1">
        <v>3</v>
      </c>
      <c r="Q54" s="1">
        <v>5</v>
      </c>
      <c r="R54" s="1">
        <v>5</v>
      </c>
      <c r="S54" s="1">
        <v>3</v>
      </c>
      <c r="T54" s="1">
        <v>4</v>
      </c>
      <c r="U54" s="1">
        <v>3</v>
      </c>
      <c r="V54" s="1">
        <v>4</v>
      </c>
      <c r="W54" s="1">
        <v>3</v>
      </c>
      <c r="X54" s="1">
        <v>2</v>
      </c>
      <c r="Y54" s="1">
        <v>2</v>
      </c>
    </row>
    <row r="55" spans="1:27" x14ac:dyDescent="0.25">
      <c r="A55" s="2">
        <v>44181.417444039354</v>
      </c>
      <c r="B55" s="1" t="s">
        <v>183</v>
      </c>
      <c r="C55" s="1" t="s">
        <v>184</v>
      </c>
      <c r="D55" s="91" t="s">
        <v>185</v>
      </c>
      <c r="E55" s="1" t="s">
        <v>185</v>
      </c>
      <c r="F55" s="1">
        <v>0</v>
      </c>
      <c r="G55" s="1">
        <v>4</v>
      </c>
      <c r="H55" s="1">
        <v>0</v>
      </c>
      <c r="I55" s="1">
        <v>5</v>
      </c>
      <c r="J55" s="1">
        <v>5</v>
      </c>
      <c r="K55" s="1">
        <v>4</v>
      </c>
      <c r="L55" s="1">
        <v>4</v>
      </c>
      <c r="M55" s="1">
        <v>5</v>
      </c>
      <c r="N55" s="1">
        <v>5</v>
      </c>
      <c r="O55" s="1">
        <v>5</v>
      </c>
      <c r="P55" s="1">
        <v>0</v>
      </c>
      <c r="Q55" s="1">
        <v>5</v>
      </c>
      <c r="R55" s="1">
        <v>3</v>
      </c>
      <c r="S55" s="1">
        <v>0</v>
      </c>
      <c r="T55" s="1">
        <v>4</v>
      </c>
      <c r="U55" s="1">
        <v>4</v>
      </c>
      <c r="V55" s="1">
        <v>1</v>
      </c>
      <c r="W55" s="1">
        <v>4</v>
      </c>
      <c r="X55" s="1">
        <v>3</v>
      </c>
      <c r="Y55" s="1">
        <v>3</v>
      </c>
    </row>
    <row r="56" spans="1:27" x14ac:dyDescent="0.25">
      <c r="A56" s="2">
        <v>44182.39630552083</v>
      </c>
      <c r="B56" s="1" t="s">
        <v>183</v>
      </c>
      <c r="C56" s="1" t="s">
        <v>187</v>
      </c>
      <c r="D56" s="91" t="s">
        <v>185</v>
      </c>
      <c r="E56" s="1" t="s">
        <v>185</v>
      </c>
      <c r="F56" s="1">
        <v>3</v>
      </c>
      <c r="G56" s="1">
        <v>5</v>
      </c>
      <c r="H56" s="1">
        <v>4</v>
      </c>
      <c r="I56" s="1">
        <v>5</v>
      </c>
      <c r="J56" s="1">
        <v>5</v>
      </c>
      <c r="K56" s="1">
        <v>5</v>
      </c>
      <c r="L56" s="1">
        <v>5</v>
      </c>
      <c r="M56" s="1">
        <v>5</v>
      </c>
      <c r="N56" s="1">
        <v>5</v>
      </c>
      <c r="O56" s="1">
        <v>5</v>
      </c>
      <c r="P56" s="1">
        <v>3</v>
      </c>
      <c r="Q56" s="1">
        <v>5</v>
      </c>
      <c r="R56" s="1">
        <v>5</v>
      </c>
      <c r="S56" s="1">
        <v>5</v>
      </c>
      <c r="T56" s="1">
        <v>5</v>
      </c>
      <c r="U56" s="1">
        <v>4</v>
      </c>
      <c r="V56" s="1">
        <v>4</v>
      </c>
      <c r="W56" s="1">
        <v>4</v>
      </c>
      <c r="X56" s="1">
        <v>3</v>
      </c>
      <c r="Y56" s="1">
        <v>3</v>
      </c>
    </row>
    <row r="57" spans="1:27" x14ac:dyDescent="0.25">
      <c r="A57" s="2">
        <v>44182.532496851854</v>
      </c>
      <c r="B57" s="1" t="s">
        <v>183</v>
      </c>
      <c r="C57" s="1" t="s">
        <v>192</v>
      </c>
      <c r="D57" s="91" t="s">
        <v>185</v>
      </c>
      <c r="E57" s="1" t="s">
        <v>185</v>
      </c>
      <c r="F57" s="1">
        <v>0</v>
      </c>
      <c r="G57" s="1">
        <v>0</v>
      </c>
      <c r="H57" s="1">
        <v>5</v>
      </c>
      <c r="I57" s="1">
        <v>5</v>
      </c>
      <c r="J57" s="1">
        <v>5</v>
      </c>
      <c r="K57" s="1">
        <v>5</v>
      </c>
      <c r="L57" s="1">
        <v>5</v>
      </c>
      <c r="M57" s="1">
        <v>5</v>
      </c>
      <c r="N57" s="1">
        <v>5</v>
      </c>
      <c r="O57" s="1">
        <v>5</v>
      </c>
      <c r="P57" s="1">
        <v>5</v>
      </c>
      <c r="Q57" s="1">
        <v>5</v>
      </c>
      <c r="R57" s="1">
        <v>5</v>
      </c>
      <c r="S57" s="1">
        <v>5</v>
      </c>
      <c r="T57" s="1">
        <v>5</v>
      </c>
      <c r="U57" s="1">
        <v>5</v>
      </c>
      <c r="V57" s="1">
        <v>5</v>
      </c>
      <c r="W57" s="1">
        <v>5</v>
      </c>
      <c r="X57" s="1">
        <v>3</v>
      </c>
      <c r="Y57" s="1">
        <v>5</v>
      </c>
    </row>
    <row r="58" spans="1:27" x14ac:dyDescent="0.25">
      <c r="A58" s="2">
        <v>44182.868324027775</v>
      </c>
      <c r="B58" s="1" t="s">
        <v>188</v>
      </c>
      <c r="C58" s="1" t="s">
        <v>192</v>
      </c>
      <c r="D58" s="91" t="s">
        <v>190</v>
      </c>
      <c r="E58" s="1" t="s">
        <v>194</v>
      </c>
      <c r="F58" s="1">
        <v>5</v>
      </c>
      <c r="G58" s="1">
        <v>4</v>
      </c>
      <c r="H58" s="1">
        <v>4</v>
      </c>
      <c r="I58" s="1">
        <v>5</v>
      </c>
      <c r="J58" s="1">
        <v>4</v>
      </c>
      <c r="K58" s="1">
        <v>3</v>
      </c>
      <c r="L58" s="1">
        <v>5</v>
      </c>
      <c r="M58" s="1">
        <v>5</v>
      </c>
      <c r="N58" s="1">
        <v>5</v>
      </c>
      <c r="O58" s="1">
        <v>5</v>
      </c>
      <c r="P58" s="1">
        <v>4</v>
      </c>
      <c r="Q58" s="1">
        <v>5</v>
      </c>
      <c r="R58" s="1">
        <v>5</v>
      </c>
      <c r="S58" s="1">
        <v>5</v>
      </c>
      <c r="T58" s="1">
        <v>3</v>
      </c>
      <c r="U58" s="1">
        <v>3</v>
      </c>
      <c r="V58" s="1">
        <v>5</v>
      </c>
      <c r="W58" s="1">
        <v>4</v>
      </c>
      <c r="X58" s="1">
        <v>0</v>
      </c>
      <c r="Y58" s="1">
        <v>0</v>
      </c>
    </row>
    <row r="59" spans="1:27" x14ac:dyDescent="0.25">
      <c r="A59" s="2">
        <v>44186.439861979168</v>
      </c>
      <c r="B59" s="1" t="s">
        <v>188</v>
      </c>
      <c r="C59" s="1" t="s">
        <v>187</v>
      </c>
      <c r="D59" s="91" t="s">
        <v>185</v>
      </c>
      <c r="E59" s="1" t="s">
        <v>185</v>
      </c>
      <c r="F59" s="1">
        <v>5</v>
      </c>
      <c r="G59" s="1">
        <v>5</v>
      </c>
      <c r="H59" s="1">
        <v>3</v>
      </c>
      <c r="I59" s="1">
        <v>5</v>
      </c>
      <c r="J59" s="1">
        <v>0</v>
      </c>
      <c r="K59" s="1">
        <v>4</v>
      </c>
      <c r="L59" s="1">
        <v>5</v>
      </c>
      <c r="M59" s="1">
        <v>5</v>
      </c>
      <c r="N59" s="1">
        <v>5</v>
      </c>
      <c r="O59" s="1">
        <v>5</v>
      </c>
      <c r="P59" s="1">
        <v>5</v>
      </c>
      <c r="Q59" s="1">
        <v>5</v>
      </c>
      <c r="R59" s="1">
        <v>5</v>
      </c>
      <c r="S59" s="1">
        <v>3</v>
      </c>
      <c r="T59" s="1">
        <v>5</v>
      </c>
      <c r="U59" s="1">
        <v>5</v>
      </c>
      <c r="V59" s="1">
        <v>5</v>
      </c>
      <c r="W59" s="1">
        <v>5</v>
      </c>
      <c r="X59" s="1">
        <v>5</v>
      </c>
      <c r="Y59" s="1">
        <v>5</v>
      </c>
    </row>
    <row r="60" spans="1:27" x14ac:dyDescent="0.25">
      <c r="A60" s="2"/>
      <c r="B60" s="1"/>
      <c r="C60" s="1"/>
      <c r="D60" s="91"/>
      <c r="E60" s="1"/>
      <c r="F60" s="1"/>
      <c r="G60" s="1"/>
      <c r="H60" s="1"/>
      <c r="I60" s="1"/>
      <c r="J60" s="1"/>
      <c r="K60" s="1"/>
      <c r="L60" s="1"/>
      <c r="M60" s="1"/>
      <c r="N60" s="1"/>
      <c r="O60" s="1"/>
      <c r="P60" s="1"/>
      <c r="Q60" s="1"/>
      <c r="R60" s="1"/>
      <c r="S60" s="1"/>
      <c r="T60" s="1"/>
      <c r="U60" s="1"/>
      <c r="V60" s="1"/>
      <c r="W60" s="1"/>
      <c r="X60" s="1"/>
      <c r="Y60" s="1"/>
    </row>
    <row r="61" spans="1:27" x14ac:dyDescent="0.25">
      <c r="A61" s="2"/>
      <c r="B61" s="1"/>
      <c r="C61" s="1"/>
      <c r="D61" s="91"/>
      <c r="E61" s="1"/>
      <c r="F61" s="1"/>
      <c r="G61" s="1"/>
      <c r="H61" s="1"/>
      <c r="I61" s="1"/>
      <c r="J61" s="1"/>
      <c r="K61" s="1"/>
      <c r="L61" s="1"/>
      <c r="M61" s="1"/>
      <c r="N61" s="1"/>
      <c r="O61" s="1"/>
      <c r="P61" s="1"/>
      <c r="Q61" s="1"/>
      <c r="R61" s="1"/>
      <c r="S61" s="1"/>
      <c r="T61" s="1"/>
      <c r="U61" s="1"/>
      <c r="V61" s="1"/>
      <c r="W61" s="1"/>
      <c r="X61" s="1"/>
      <c r="Y61" s="1"/>
    </row>
    <row r="62" spans="1:27" ht="15.75" customHeight="1" x14ac:dyDescent="0.25">
      <c r="B62" s="1"/>
      <c r="C62" s="1"/>
      <c r="F62" s="9" t="s">
        <v>220</v>
      </c>
      <c r="G62" s="9" t="s">
        <v>243</v>
      </c>
      <c r="H62" s="9" t="s">
        <v>221</v>
      </c>
      <c r="I62" s="9" t="s">
        <v>222</v>
      </c>
      <c r="J62" s="9" t="s">
        <v>223</v>
      </c>
      <c r="K62" s="9" t="s">
        <v>224</v>
      </c>
      <c r="L62" s="9" t="s">
        <v>225</v>
      </c>
      <c r="M62" s="9" t="s">
        <v>226</v>
      </c>
      <c r="N62" s="9" t="s">
        <v>227</v>
      </c>
      <c r="O62" s="9" t="s">
        <v>228</v>
      </c>
      <c r="P62" s="9" t="s">
        <v>229</v>
      </c>
      <c r="Q62" s="9" t="s">
        <v>230</v>
      </c>
      <c r="R62" s="9" t="s">
        <v>231</v>
      </c>
      <c r="S62" s="9" t="s">
        <v>244</v>
      </c>
      <c r="T62" s="9" t="s">
        <v>232</v>
      </c>
      <c r="U62" s="9" t="s">
        <v>233</v>
      </c>
      <c r="V62" s="9" t="s">
        <v>234</v>
      </c>
      <c r="W62" s="9" t="s">
        <v>235</v>
      </c>
      <c r="X62" s="9" t="s">
        <v>236</v>
      </c>
      <c r="Y62" s="9" t="s">
        <v>237</v>
      </c>
    </row>
    <row r="63" spans="1:27" ht="15.75" customHeight="1" x14ac:dyDescent="0.25">
      <c r="A63" s="10" t="str">
        <f>'Dashboard-1-AVALIAÇÃO INST.'!$A$21</f>
        <v>5-ÓTIMO</v>
      </c>
      <c r="B63" s="1"/>
      <c r="C63" s="1"/>
      <c r="F63" s="7">
        <f t="shared" ref="F63:Y63" si="0">COUNTIFS(F$2:F$59,5)/$A$71</f>
        <v>0.41379310344827586</v>
      </c>
      <c r="G63" s="7">
        <f t="shared" si="0"/>
        <v>0.31034482758620691</v>
      </c>
      <c r="H63" s="7">
        <f t="shared" si="0"/>
        <v>0.1206896551724138</v>
      </c>
      <c r="I63" s="7">
        <f t="shared" si="0"/>
        <v>0.67241379310344829</v>
      </c>
      <c r="J63" s="7">
        <f t="shared" si="0"/>
        <v>0.27586206896551724</v>
      </c>
      <c r="K63" s="7">
        <f t="shared" si="0"/>
        <v>0.31034482758620691</v>
      </c>
      <c r="L63" s="7">
        <f t="shared" si="0"/>
        <v>0.65517241379310343</v>
      </c>
      <c r="M63" s="7">
        <f t="shared" si="0"/>
        <v>0.53448275862068961</v>
      </c>
      <c r="N63" s="7">
        <f t="shared" si="0"/>
        <v>0.56896551724137934</v>
      </c>
      <c r="O63" s="7">
        <f t="shared" si="0"/>
        <v>0.68965517241379315</v>
      </c>
      <c r="P63" s="7">
        <f t="shared" si="0"/>
        <v>0.1206896551724138</v>
      </c>
      <c r="Q63" s="7">
        <f t="shared" si="0"/>
        <v>0.56896551724137934</v>
      </c>
      <c r="R63" s="7">
        <f t="shared" si="0"/>
        <v>0.43103448275862066</v>
      </c>
      <c r="S63" s="7">
        <f t="shared" si="0"/>
        <v>0.20689655172413793</v>
      </c>
      <c r="T63" s="7">
        <f t="shared" si="0"/>
        <v>0.2413793103448276</v>
      </c>
      <c r="U63" s="7">
        <f t="shared" si="0"/>
        <v>0.22413793103448276</v>
      </c>
      <c r="V63" s="7">
        <f t="shared" si="0"/>
        <v>0.43103448275862066</v>
      </c>
      <c r="W63" s="7">
        <f t="shared" si="0"/>
        <v>0.31034482758620691</v>
      </c>
      <c r="X63" s="7">
        <f t="shared" si="0"/>
        <v>0.20689655172413793</v>
      </c>
      <c r="Y63" s="7">
        <f t="shared" si="0"/>
        <v>0.34482758620689657</v>
      </c>
    </row>
    <row r="64" spans="1:27" ht="15.75" customHeight="1" x14ac:dyDescent="0.25">
      <c r="A64" s="10" t="str">
        <f>'Dashboard-1-AVALIAÇÃO INST.'!$A$22</f>
        <v>4-MUITO BOM</v>
      </c>
      <c r="B64" s="1"/>
      <c r="C64" s="1"/>
      <c r="F64" s="7">
        <f t="shared" ref="F64:Y64" si="1">COUNTIFS(F$2:F$59,4)/$A$71</f>
        <v>0.17241379310344829</v>
      </c>
      <c r="G64" s="7">
        <f t="shared" si="1"/>
        <v>0.18965517241379309</v>
      </c>
      <c r="H64" s="7">
        <f t="shared" si="1"/>
        <v>0.20689655172413793</v>
      </c>
      <c r="I64" s="7">
        <f t="shared" si="1"/>
        <v>0.13793103448275862</v>
      </c>
      <c r="J64" s="7">
        <f t="shared" si="1"/>
        <v>0.2413793103448276</v>
      </c>
      <c r="K64" s="7">
        <f t="shared" si="1"/>
        <v>0.31034482758620691</v>
      </c>
      <c r="L64" s="7">
        <f t="shared" si="1"/>
        <v>0.13793103448275862</v>
      </c>
      <c r="M64" s="7">
        <f t="shared" si="1"/>
        <v>0.18965517241379309</v>
      </c>
      <c r="N64" s="7">
        <f t="shared" si="1"/>
        <v>0.2413793103448276</v>
      </c>
      <c r="O64" s="7">
        <f t="shared" si="1"/>
        <v>0.20689655172413793</v>
      </c>
      <c r="P64" s="7">
        <f t="shared" si="1"/>
        <v>8.6206896551724144E-2</v>
      </c>
      <c r="Q64" s="7">
        <f t="shared" si="1"/>
        <v>0.20689655172413793</v>
      </c>
      <c r="R64" s="7">
        <f t="shared" si="1"/>
        <v>0.17241379310344829</v>
      </c>
      <c r="S64" s="7">
        <f t="shared" si="1"/>
        <v>0.36206896551724138</v>
      </c>
      <c r="T64" s="7">
        <f t="shared" si="1"/>
        <v>0.18965517241379309</v>
      </c>
      <c r="U64" s="7">
        <f t="shared" si="1"/>
        <v>0.17241379310344829</v>
      </c>
      <c r="V64" s="7">
        <f t="shared" si="1"/>
        <v>0.32758620689655171</v>
      </c>
      <c r="W64" s="7">
        <f t="shared" si="1"/>
        <v>0.37931034482758619</v>
      </c>
      <c r="X64" s="7">
        <f t="shared" si="1"/>
        <v>0.22413793103448276</v>
      </c>
      <c r="Y64" s="7">
        <f t="shared" si="1"/>
        <v>0.18965517241379309</v>
      </c>
    </row>
    <row r="65" spans="1:25" ht="15.75" customHeight="1" x14ac:dyDescent="0.25">
      <c r="A65" s="10" t="str">
        <f>'Dashboard-1-AVALIAÇÃO INST.'!$A$23</f>
        <v>3-BOM</v>
      </c>
      <c r="B65" s="1"/>
      <c r="C65" s="1"/>
      <c r="F65" s="7">
        <f t="shared" ref="F65:Y65" si="2">COUNTIFS(F$2:F$59,3)/$A$71</f>
        <v>0.10344827586206896</v>
      </c>
      <c r="G65" s="7">
        <f t="shared" si="2"/>
        <v>6.8965517241379309E-2</v>
      </c>
      <c r="H65" s="7">
        <f t="shared" si="2"/>
        <v>6.8965517241379309E-2</v>
      </c>
      <c r="I65" s="7">
        <f t="shared" si="2"/>
        <v>3.4482758620689655E-2</v>
      </c>
      <c r="J65" s="7">
        <f t="shared" si="2"/>
        <v>0.1206896551724138</v>
      </c>
      <c r="K65" s="7">
        <f t="shared" si="2"/>
        <v>0.10344827586206896</v>
      </c>
      <c r="L65" s="7">
        <f t="shared" si="2"/>
        <v>8.6206896551724144E-2</v>
      </c>
      <c r="M65" s="7">
        <f t="shared" si="2"/>
        <v>6.8965517241379309E-2</v>
      </c>
      <c r="N65" s="7">
        <f t="shared" si="2"/>
        <v>5.1724137931034482E-2</v>
      </c>
      <c r="O65" s="7">
        <f t="shared" si="2"/>
        <v>3.4482758620689655E-2</v>
      </c>
      <c r="P65" s="7">
        <f t="shared" si="2"/>
        <v>0.1206896551724138</v>
      </c>
      <c r="Q65" s="7">
        <f t="shared" si="2"/>
        <v>6.8965517241379309E-2</v>
      </c>
      <c r="R65" s="7">
        <f t="shared" si="2"/>
        <v>0.10344827586206896</v>
      </c>
      <c r="S65" s="7">
        <f t="shared" si="2"/>
        <v>0.15517241379310345</v>
      </c>
      <c r="T65" s="7">
        <f t="shared" si="2"/>
        <v>0.17241379310344829</v>
      </c>
      <c r="U65" s="7">
        <f t="shared" si="2"/>
        <v>0.18965517241379309</v>
      </c>
      <c r="V65" s="7">
        <f t="shared" si="2"/>
        <v>3.4482758620689655E-2</v>
      </c>
      <c r="W65" s="7">
        <f t="shared" si="2"/>
        <v>0.1206896551724138</v>
      </c>
      <c r="X65" s="7">
        <f t="shared" si="2"/>
        <v>0.22413793103448276</v>
      </c>
      <c r="Y65" s="7">
        <f t="shared" si="2"/>
        <v>0.15517241379310345</v>
      </c>
    </row>
    <row r="66" spans="1:25" ht="15.75" customHeight="1" x14ac:dyDescent="0.25">
      <c r="A66" s="10" t="str">
        <f>'Dashboard-1-AVALIAÇÃO INST.'!$A$24</f>
        <v>2-REGULAR</v>
      </c>
      <c r="B66" s="1"/>
      <c r="C66" s="1"/>
      <c r="F66" s="7">
        <f t="shared" ref="F66:Y66" si="3">COUNTIFS(F$2:F$59,2)/$A$71</f>
        <v>0</v>
      </c>
      <c r="G66" s="7">
        <f t="shared" si="3"/>
        <v>1.7241379310344827E-2</v>
      </c>
      <c r="H66" s="7">
        <f t="shared" si="3"/>
        <v>5.1724137931034482E-2</v>
      </c>
      <c r="I66" s="7">
        <f t="shared" si="3"/>
        <v>0</v>
      </c>
      <c r="J66" s="7">
        <f t="shared" si="3"/>
        <v>6.8965517241379309E-2</v>
      </c>
      <c r="K66" s="7">
        <f t="shared" si="3"/>
        <v>5.1724137931034482E-2</v>
      </c>
      <c r="L66" s="7">
        <f t="shared" si="3"/>
        <v>1.7241379310344827E-2</v>
      </c>
      <c r="M66" s="7">
        <f t="shared" si="3"/>
        <v>3.4482758620689655E-2</v>
      </c>
      <c r="N66" s="7">
        <f t="shared" si="3"/>
        <v>1.7241379310344827E-2</v>
      </c>
      <c r="O66" s="7">
        <f t="shared" si="3"/>
        <v>1.7241379310344827E-2</v>
      </c>
      <c r="P66" s="7">
        <f t="shared" si="3"/>
        <v>3.4482758620689655E-2</v>
      </c>
      <c r="Q66" s="7">
        <f t="shared" si="3"/>
        <v>1.7241379310344827E-2</v>
      </c>
      <c r="R66" s="7">
        <f t="shared" si="3"/>
        <v>6.8965517241379309E-2</v>
      </c>
      <c r="S66" s="7">
        <f t="shared" si="3"/>
        <v>0.1206896551724138</v>
      </c>
      <c r="T66" s="7">
        <f t="shared" si="3"/>
        <v>3.4482758620689655E-2</v>
      </c>
      <c r="U66" s="7">
        <f t="shared" si="3"/>
        <v>0</v>
      </c>
      <c r="V66" s="7">
        <f t="shared" si="3"/>
        <v>0</v>
      </c>
      <c r="W66" s="7">
        <f t="shared" si="3"/>
        <v>1.7241379310344827E-2</v>
      </c>
      <c r="X66" s="7">
        <f t="shared" si="3"/>
        <v>0.13793103448275862</v>
      </c>
      <c r="Y66" s="7">
        <f t="shared" si="3"/>
        <v>0.15517241379310345</v>
      </c>
    </row>
    <row r="67" spans="1:25" ht="15.75" customHeight="1" x14ac:dyDescent="0.25">
      <c r="A67" s="10" t="str">
        <f>'Dashboard-1-AVALIAÇÃO INST.'!$A$25</f>
        <v>1-RUIM</v>
      </c>
      <c r="B67" s="1"/>
      <c r="C67" s="1"/>
      <c r="F67" s="7">
        <f t="shared" ref="F67:Y67" si="4">COUNTIFS(F$2:F$59,1)/$A$71</f>
        <v>3.4482758620689655E-2</v>
      </c>
      <c r="G67" s="7">
        <f t="shared" si="4"/>
        <v>3.4482758620689655E-2</v>
      </c>
      <c r="H67" s="7">
        <f t="shared" si="4"/>
        <v>8.6206896551724144E-2</v>
      </c>
      <c r="I67" s="7">
        <f t="shared" si="4"/>
        <v>1.7241379310344827E-2</v>
      </c>
      <c r="J67" s="7">
        <f t="shared" si="4"/>
        <v>1.7241379310344827E-2</v>
      </c>
      <c r="K67" s="7">
        <f t="shared" si="4"/>
        <v>3.4482758620689655E-2</v>
      </c>
      <c r="L67" s="7">
        <f t="shared" si="4"/>
        <v>0</v>
      </c>
      <c r="M67" s="7">
        <f t="shared" si="4"/>
        <v>3.4482758620689655E-2</v>
      </c>
      <c r="N67" s="7">
        <f t="shared" si="4"/>
        <v>3.4482758620689655E-2</v>
      </c>
      <c r="O67" s="7">
        <f t="shared" si="4"/>
        <v>1.7241379310344827E-2</v>
      </c>
      <c r="P67" s="7">
        <f t="shared" si="4"/>
        <v>0.1206896551724138</v>
      </c>
      <c r="Q67" s="7">
        <f t="shared" si="4"/>
        <v>1.7241379310344827E-2</v>
      </c>
      <c r="R67" s="7">
        <f t="shared" si="4"/>
        <v>5.1724137931034482E-2</v>
      </c>
      <c r="S67" s="7">
        <f t="shared" si="4"/>
        <v>3.4482758620689655E-2</v>
      </c>
      <c r="T67" s="7">
        <f t="shared" si="4"/>
        <v>1.7241379310344827E-2</v>
      </c>
      <c r="U67" s="7">
        <f t="shared" si="4"/>
        <v>3.4482758620689655E-2</v>
      </c>
      <c r="V67" s="7">
        <f t="shared" si="4"/>
        <v>3.4482758620689655E-2</v>
      </c>
      <c r="W67" s="7">
        <f t="shared" si="4"/>
        <v>0</v>
      </c>
      <c r="X67" s="7">
        <f t="shared" si="4"/>
        <v>0.1206896551724138</v>
      </c>
      <c r="Y67" s="7">
        <f t="shared" si="4"/>
        <v>5.1724137931034482E-2</v>
      </c>
    </row>
    <row r="68" spans="1:25" ht="15.75" customHeight="1" x14ac:dyDescent="0.25">
      <c r="A68" s="10" t="str">
        <f>'Dashboard-1-AVALIAÇÃO INST.'!$A$26</f>
        <v>0-NÃO SE APLICA</v>
      </c>
      <c r="B68" s="1"/>
      <c r="C68" s="1"/>
      <c r="F68" s="7">
        <f t="shared" ref="F68:Y68" si="5">COUNTIFS(F$2:F$59,0)/$A$71</f>
        <v>0.27586206896551724</v>
      </c>
      <c r="G68" s="7">
        <f t="shared" si="5"/>
        <v>0.37931034482758619</v>
      </c>
      <c r="H68" s="7">
        <f t="shared" si="5"/>
        <v>0.46551724137931033</v>
      </c>
      <c r="I68" s="7">
        <f t="shared" si="5"/>
        <v>0.13793103448275862</v>
      </c>
      <c r="J68" s="7">
        <f t="shared" si="5"/>
        <v>0.27586206896551724</v>
      </c>
      <c r="K68" s="7">
        <f t="shared" si="5"/>
        <v>0.18965517241379309</v>
      </c>
      <c r="L68" s="7">
        <f t="shared" si="5"/>
        <v>0.10344827586206896</v>
      </c>
      <c r="M68" s="7">
        <f t="shared" si="5"/>
        <v>0.13793103448275862</v>
      </c>
      <c r="N68" s="7">
        <f t="shared" si="5"/>
        <v>8.6206896551724144E-2</v>
      </c>
      <c r="O68" s="7">
        <f t="shared" si="5"/>
        <v>3.4482758620689655E-2</v>
      </c>
      <c r="P68" s="7">
        <f t="shared" si="5"/>
        <v>0.51724137931034486</v>
      </c>
      <c r="Q68" s="7">
        <f t="shared" si="5"/>
        <v>0.1206896551724138</v>
      </c>
      <c r="R68" s="7">
        <f t="shared" si="5"/>
        <v>0.17241379310344829</v>
      </c>
      <c r="S68" s="7">
        <f t="shared" si="5"/>
        <v>0.1206896551724138</v>
      </c>
      <c r="T68" s="7">
        <f t="shared" si="5"/>
        <v>0.34482758620689657</v>
      </c>
      <c r="U68" s="7">
        <f t="shared" si="5"/>
        <v>0.37931034482758619</v>
      </c>
      <c r="V68" s="7">
        <f t="shared" si="5"/>
        <v>0.17241379310344829</v>
      </c>
      <c r="W68" s="7">
        <f t="shared" si="5"/>
        <v>0.17241379310344829</v>
      </c>
      <c r="X68" s="7">
        <f t="shared" si="5"/>
        <v>8.6206896551724144E-2</v>
      </c>
      <c r="Y68" s="7">
        <f t="shared" si="5"/>
        <v>0.10344827586206896</v>
      </c>
    </row>
    <row r="69" spans="1:25" ht="15.75" customHeight="1" x14ac:dyDescent="0.25">
      <c r="B69" s="1"/>
      <c r="C69" s="1"/>
      <c r="F69" s="8" t="str">
        <f>IF(SUM(F63:F68)=1,"Conferido!","Erro!")</f>
        <v>Conferido!</v>
      </c>
      <c r="G69" s="8" t="str">
        <f t="shared" ref="G69:W69" si="6">IF(SUM(G63:G68)=1,"Conferido!","Erro!")</f>
        <v>Conferido!</v>
      </c>
      <c r="H69" s="8" t="str">
        <f t="shared" si="6"/>
        <v>Conferido!</v>
      </c>
      <c r="I69" s="8" t="str">
        <f t="shared" si="6"/>
        <v>Conferido!</v>
      </c>
      <c r="J69" s="8" t="str">
        <f t="shared" si="6"/>
        <v>Conferido!</v>
      </c>
      <c r="K69" s="8" t="str">
        <f t="shared" si="6"/>
        <v>Conferido!</v>
      </c>
      <c r="L69" s="8" t="str">
        <f t="shared" si="6"/>
        <v>Conferido!</v>
      </c>
      <c r="M69" s="8" t="str">
        <f t="shared" si="6"/>
        <v>Conferido!</v>
      </c>
      <c r="N69" s="8" t="str">
        <f t="shared" si="6"/>
        <v>Conferido!</v>
      </c>
      <c r="O69" s="8" t="str">
        <f t="shared" si="6"/>
        <v>Conferido!</v>
      </c>
      <c r="P69" s="8" t="str">
        <f t="shared" si="6"/>
        <v>Conferido!</v>
      </c>
      <c r="Q69" s="8" t="str">
        <f t="shared" si="6"/>
        <v>Conferido!</v>
      </c>
      <c r="R69" s="8" t="str">
        <f t="shared" si="6"/>
        <v>Conferido!</v>
      </c>
      <c r="S69" s="8" t="str">
        <f t="shared" si="6"/>
        <v>Conferido!</v>
      </c>
      <c r="T69" s="8" t="str">
        <f t="shared" si="6"/>
        <v>Conferido!</v>
      </c>
      <c r="U69" s="8" t="str">
        <f t="shared" si="6"/>
        <v>Conferido!</v>
      </c>
      <c r="V69" s="8" t="str">
        <f t="shared" si="6"/>
        <v>Conferido!</v>
      </c>
      <c r="W69" s="8" t="str">
        <f t="shared" si="6"/>
        <v>Conferido!</v>
      </c>
      <c r="X69" s="8" t="str">
        <f>IF(SUM(X63:X68)=1,"Conferido!","Erro!")</f>
        <v>Conferido!</v>
      </c>
      <c r="Y69" s="8" t="str">
        <f>IF(SUM(Y63:Y68)=1,"Conferido!","Erro!")</f>
        <v>Conferido!</v>
      </c>
    </row>
    <row r="70" spans="1:25" ht="13.8" x14ac:dyDescent="0.25">
      <c r="A70" s="5" t="s">
        <v>211</v>
      </c>
      <c r="B70" s="1"/>
      <c r="C70" s="1"/>
      <c r="D70" s="91"/>
      <c r="F70" s="133" t="s">
        <v>305</v>
      </c>
      <c r="G70" s="133" t="s">
        <v>305</v>
      </c>
      <c r="H70" s="133" t="s">
        <v>305</v>
      </c>
      <c r="I70" s="133" t="s">
        <v>305</v>
      </c>
      <c r="J70" s="133" t="s">
        <v>305</v>
      </c>
      <c r="K70" s="133" t="s">
        <v>305</v>
      </c>
      <c r="L70" s="133" t="s">
        <v>305</v>
      </c>
      <c r="M70" s="133" t="s">
        <v>305</v>
      </c>
      <c r="N70" s="133" t="s">
        <v>305</v>
      </c>
      <c r="O70" s="133" t="s">
        <v>305</v>
      </c>
      <c r="P70" s="133" t="s">
        <v>305</v>
      </c>
      <c r="Q70" s="133" t="s">
        <v>305</v>
      </c>
      <c r="R70" s="133" t="s">
        <v>305</v>
      </c>
      <c r="S70" s="133" t="s">
        <v>305</v>
      </c>
      <c r="T70" s="133" t="s">
        <v>305</v>
      </c>
      <c r="U70" s="133" t="s">
        <v>305</v>
      </c>
      <c r="V70" s="133" t="s">
        <v>305</v>
      </c>
      <c r="W70" s="133" t="s">
        <v>305</v>
      </c>
      <c r="X70" s="133" t="s">
        <v>305</v>
      </c>
      <c r="Y70" s="133" t="s">
        <v>305</v>
      </c>
    </row>
    <row r="71" spans="1:25" ht="15.6" x14ac:dyDescent="0.3">
      <c r="A71" s="6">
        <f>COUNT(F2:F60)</f>
        <v>58</v>
      </c>
      <c r="B71" s="1"/>
      <c r="C71" s="1"/>
      <c r="D71" s="91"/>
      <c r="E71" s="109" t="str">
        <f>'Dashboard-1-AVALIAÇÃO INST.'!$A$29</f>
        <v>MUITO BOM / ÓTIMO</v>
      </c>
      <c r="F71" s="169">
        <f>F63+F64</f>
        <v>0.5862068965517242</v>
      </c>
      <c r="G71" s="170">
        <f t="shared" ref="G71:Y71" si="7">G63+G64</f>
        <v>0.5</v>
      </c>
      <c r="H71" s="170">
        <f t="shared" si="7"/>
        <v>0.32758620689655171</v>
      </c>
      <c r="I71" s="170">
        <f t="shared" si="7"/>
        <v>0.81034482758620685</v>
      </c>
      <c r="J71" s="170">
        <f t="shared" si="7"/>
        <v>0.51724137931034486</v>
      </c>
      <c r="K71" s="170">
        <f t="shared" si="7"/>
        <v>0.62068965517241381</v>
      </c>
      <c r="L71" s="170">
        <f t="shared" si="7"/>
        <v>0.7931034482758621</v>
      </c>
      <c r="M71" s="170">
        <f t="shared" si="7"/>
        <v>0.72413793103448265</v>
      </c>
      <c r="N71" s="170">
        <f t="shared" si="7"/>
        <v>0.81034482758620696</v>
      </c>
      <c r="O71" s="170">
        <f t="shared" si="7"/>
        <v>0.89655172413793105</v>
      </c>
      <c r="P71" s="170">
        <f t="shared" si="7"/>
        <v>0.20689655172413796</v>
      </c>
      <c r="Q71" s="170">
        <f t="shared" si="7"/>
        <v>0.77586206896551724</v>
      </c>
      <c r="R71" s="170">
        <f t="shared" si="7"/>
        <v>0.60344827586206895</v>
      </c>
      <c r="S71" s="170">
        <f t="shared" si="7"/>
        <v>0.56896551724137934</v>
      </c>
      <c r="T71" s="170">
        <f t="shared" si="7"/>
        <v>0.43103448275862066</v>
      </c>
      <c r="U71" s="170">
        <f t="shared" si="7"/>
        <v>0.39655172413793105</v>
      </c>
      <c r="V71" s="170">
        <f t="shared" si="7"/>
        <v>0.75862068965517238</v>
      </c>
      <c r="W71" s="170">
        <f t="shared" si="7"/>
        <v>0.68965517241379315</v>
      </c>
      <c r="X71" s="170">
        <f t="shared" si="7"/>
        <v>0.43103448275862066</v>
      </c>
      <c r="Y71" s="166">
        <f t="shared" si="7"/>
        <v>0.53448275862068972</v>
      </c>
    </row>
    <row r="72" spans="1:25" ht="15.6" x14ac:dyDescent="0.3">
      <c r="A72" s="134"/>
      <c r="B72" s="1"/>
      <c r="C72" s="1"/>
      <c r="D72" s="91"/>
      <c r="E72" s="110" t="str">
        <f>'Dashboard-1-AVALIAÇÃO INST.'!$A$30</f>
        <v>BOM</v>
      </c>
      <c r="F72" s="171">
        <f>F65</f>
        <v>0.10344827586206896</v>
      </c>
      <c r="G72" s="168">
        <f t="shared" ref="G72:Y72" si="8">G65</f>
        <v>6.8965517241379309E-2</v>
      </c>
      <c r="H72" s="168">
        <f t="shared" si="8"/>
        <v>6.8965517241379309E-2</v>
      </c>
      <c r="I72" s="168">
        <f t="shared" si="8"/>
        <v>3.4482758620689655E-2</v>
      </c>
      <c r="J72" s="168">
        <f t="shared" si="8"/>
        <v>0.1206896551724138</v>
      </c>
      <c r="K72" s="168">
        <f t="shared" si="8"/>
        <v>0.10344827586206896</v>
      </c>
      <c r="L72" s="168">
        <f t="shared" si="8"/>
        <v>8.6206896551724144E-2</v>
      </c>
      <c r="M72" s="168">
        <f t="shared" si="8"/>
        <v>6.8965517241379309E-2</v>
      </c>
      <c r="N72" s="168">
        <f t="shared" si="8"/>
        <v>5.1724137931034482E-2</v>
      </c>
      <c r="O72" s="168">
        <f t="shared" si="8"/>
        <v>3.4482758620689655E-2</v>
      </c>
      <c r="P72" s="168">
        <f t="shared" si="8"/>
        <v>0.1206896551724138</v>
      </c>
      <c r="Q72" s="168">
        <f t="shared" si="8"/>
        <v>6.8965517241379309E-2</v>
      </c>
      <c r="R72" s="168">
        <f t="shared" si="8"/>
        <v>0.10344827586206896</v>
      </c>
      <c r="S72" s="168">
        <f t="shared" si="8"/>
        <v>0.15517241379310345</v>
      </c>
      <c r="T72" s="168">
        <f t="shared" si="8"/>
        <v>0.17241379310344829</v>
      </c>
      <c r="U72" s="168">
        <f t="shared" si="8"/>
        <v>0.18965517241379309</v>
      </c>
      <c r="V72" s="168">
        <f t="shared" si="8"/>
        <v>3.4482758620689655E-2</v>
      </c>
      <c r="W72" s="168">
        <f t="shared" si="8"/>
        <v>0.1206896551724138</v>
      </c>
      <c r="X72" s="168">
        <f t="shared" si="8"/>
        <v>0.22413793103448276</v>
      </c>
      <c r="Y72" s="167">
        <f t="shared" si="8"/>
        <v>0.15517241379310345</v>
      </c>
    </row>
    <row r="73" spans="1:25" ht="15.6" x14ac:dyDescent="0.3">
      <c r="A73" s="134"/>
      <c r="B73" s="1"/>
      <c r="C73" s="1"/>
      <c r="D73" s="91"/>
      <c r="E73" s="110" t="str">
        <f>'Dashboard-1-AVALIAÇÃO INST.'!$A$31</f>
        <v>RUIM / REGULAR</v>
      </c>
      <c r="F73" s="171">
        <f>F66+F67</f>
        <v>3.4482758620689655E-2</v>
      </c>
      <c r="G73" s="168">
        <f t="shared" ref="G73:Y73" si="9">G66+G67</f>
        <v>5.1724137931034482E-2</v>
      </c>
      <c r="H73" s="168">
        <f t="shared" si="9"/>
        <v>0.13793103448275862</v>
      </c>
      <c r="I73" s="168">
        <f t="shared" si="9"/>
        <v>1.7241379310344827E-2</v>
      </c>
      <c r="J73" s="168">
        <f t="shared" si="9"/>
        <v>8.6206896551724144E-2</v>
      </c>
      <c r="K73" s="168">
        <f t="shared" si="9"/>
        <v>8.6206896551724144E-2</v>
      </c>
      <c r="L73" s="168">
        <f t="shared" si="9"/>
        <v>1.7241379310344827E-2</v>
      </c>
      <c r="M73" s="168">
        <f t="shared" si="9"/>
        <v>6.8965517241379309E-2</v>
      </c>
      <c r="N73" s="168">
        <f t="shared" si="9"/>
        <v>5.1724137931034482E-2</v>
      </c>
      <c r="O73" s="168">
        <f t="shared" si="9"/>
        <v>3.4482758620689655E-2</v>
      </c>
      <c r="P73" s="168">
        <f t="shared" si="9"/>
        <v>0.15517241379310345</v>
      </c>
      <c r="Q73" s="168">
        <f t="shared" si="9"/>
        <v>3.4482758620689655E-2</v>
      </c>
      <c r="R73" s="168">
        <f t="shared" si="9"/>
        <v>0.12068965517241378</v>
      </c>
      <c r="S73" s="168">
        <f t="shared" si="9"/>
        <v>0.15517241379310345</v>
      </c>
      <c r="T73" s="168">
        <f t="shared" si="9"/>
        <v>5.1724137931034482E-2</v>
      </c>
      <c r="U73" s="168">
        <f t="shared" si="9"/>
        <v>3.4482758620689655E-2</v>
      </c>
      <c r="V73" s="168">
        <f t="shared" si="9"/>
        <v>3.4482758620689655E-2</v>
      </c>
      <c r="W73" s="168">
        <f t="shared" si="9"/>
        <v>1.7241379310344827E-2</v>
      </c>
      <c r="X73" s="168">
        <f t="shared" si="9"/>
        <v>0.25862068965517243</v>
      </c>
      <c r="Y73" s="167">
        <f t="shared" si="9"/>
        <v>0.20689655172413793</v>
      </c>
    </row>
    <row r="74" spans="1:25" ht="15.6" x14ac:dyDescent="0.3">
      <c r="A74" s="134"/>
      <c r="B74" s="1"/>
      <c r="C74" s="1"/>
      <c r="D74" s="91"/>
      <c r="E74" s="111" t="str">
        <f>'Dashboard-1-AVALIAÇÃO INST.'!$A$32</f>
        <v>NÃO SE APLICA / NÃO SEI</v>
      </c>
      <c r="F74" s="172">
        <f>F68</f>
        <v>0.27586206896551724</v>
      </c>
      <c r="G74" s="173">
        <f t="shared" ref="G74:Y74" si="10">G68</f>
        <v>0.37931034482758619</v>
      </c>
      <c r="H74" s="173">
        <f t="shared" si="10"/>
        <v>0.46551724137931033</v>
      </c>
      <c r="I74" s="173">
        <f t="shared" si="10"/>
        <v>0.13793103448275862</v>
      </c>
      <c r="J74" s="173">
        <f t="shared" si="10"/>
        <v>0.27586206896551724</v>
      </c>
      <c r="K74" s="173">
        <f t="shared" si="10"/>
        <v>0.18965517241379309</v>
      </c>
      <c r="L74" s="173">
        <f t="shared" si="10"/>
        <v>0.10344827586206896</v>
      </c>
      <c r="M74" s="173">
        <f t="shared" si="10"/>
        <v>0.13793103448275862</v>
      </c>
      <c r="N74" s="173">
        <f t="shared" si="10"/>
        <v>8.6206896551724144E-2</v>
      </c>
      <c r="O74" s="173">
        <f t="shared" si="10"/>
        <v>3.4482758620689655E-2</v>
      </c>
      <c r="P74" s="173">
        <f t="shared" si="10"/>
        <v>0.51724137931034486</v>
      </c>
      <c r="Q74" s="173">
        <f t="shared" si="10"/>
        <v>0.1206896551724138</v>
      </c>
      <c r="R74" s="173">
        <f t="shared" si="10"/>
        <v>0.17241379310344829</v>
      </c>
      <c r="S74" s="173">
        <f t="shared" si="10"/>
        <v>0.1206896551724138</v>
      </c>
      <c r="T74" s="173">
        <f t="shared" si="10"/>
        <v>0.34482758620689657</v>
      </c>
      <c r="U74" s="173">
        <f t="shared" si="10"/>
        <v>0.37931034482758619</v>
      </c>
      <c r="V74" s="173">
        <f t="shared" si="10"/>
        <v>0.17241379310344829</v>
      </c>
      <c r="W74" s="173">
        <f t="shared" si="10"/>
        <v>0.17241379310344829</v>
      </c>
      <c r="X74" s="173">
        <f t="shared" si="10"/>
        <v>8.6206896551724144E-2</v>
      </c>
      <c r="Y74" s="174">
        <f t="shared" si="10"/>
        <v>0.10344827586206896</v>
      </c>
    </row>
    <row r="75" spans="1:25" x14ac:dyDescent="0.25">
      <c r="A75" s="134"/>
      <c r="B75" s="1"/>
      <c r="C75" s="1"/>
      <c r="D75" s="91"/>
      <c r="E75" s="91"/>
      <c r="F75" s="165">
        <f>SUM(F71:F74)</f>
        <v>1</v>
      </c>
      <c r="G75" s="165">
        <f t="shared" ref="G75:Y75" si="11">SUM(G71:G74)</f>
        <v>1</v>
      </c>
      <c r="H75" s="165">
        <f t="shared" si="11"/>
        <v>1</v>
      </c>
      <c r="I75" s="165">
        <f t="shared" si="11"/>
        <v>1</v>
      </c>
      <c r="J75" s="165">
        <f t="shared" si="11"/>
        <v>1</v>
      </c>
      <c r="K75" s="165">
        <f t="shared" si="11"/>
        <v>1</v>
      </c>
      <c r="L75" s="165">
        <f t="shared" si="11"/>
        <v>1.0000000000000002</v>
      </c>
      <c r="M75" s="165">
        <f t="shared" si="11"/>
        <v>1</v>
      </c>
      <c r="N75" s="165">
        <f t="shared" si="11"/>
        <v>1</v>
      </c>
      <c r="O75" s="165">
        <f t="shared" si="11"/>
        <v>0.99999999999999989</v>
      </c>
      <c r="P75" s="165">
        <f t="shared" si="11"/>
        <v>1</v>
      </c>
      <c r="Q75" s="165">
        <f t="shared" si="11"/>
        <v>1</v>
      </c>
      <c r="R75" s="165">
        <f t="shared" si="11"/>
        <v>1</v>
      </c>
      <c r="S75" s="165">
        <f t="shared" si="11"/>
        <v>1</v>
      </c>
      <c r="T75" s="165">
        <f t="shared" si="11"/>
        <v>1</v>
      </c>
      <c r="U75" s="165">
        <f t="shared" si="11"/>
        <v>1</v>
      </c>
      <c r="V75" s="165">
        <f t="shared" si="11"/>
        <v>0.99999999999999989</v>
      </c>
      <c r="W75" s="165">
        <f t="shared" si="11"/>
        <v>1</v>
      </c>
      <c r="X75" s="165">
        <f t="shared" si="11"/>
        <v>1</v>
      </c>
      <c r="Y75" s="165">
        <f t="shared" si="11"/>
        <v>1</v>
      </c>
    </row>
    <row r="76" spans="1:25" x14ac:dyDescent="0.25">
      <c r="A76" s="2"/>
      <c r="B76" s="1"/>
      <c r="C76" s="1"/>
      <c r="D76" s="91"/>
      <c r="E76" s="1"/>
      <c r="F76" s="1"/>
      <c r="G76" s="1"/>
      <c r="H76" s="1"/>
      <c r="I76" s="1"/>
      <c r="J76" s="1"/>
      <c r="K76" s="1"/>
      <c r="L76" s="1"/>
      <c r="M76" s="1"/>
      <c r="N76" s="1"/>
      <c r="O76" s="1"/>
      <c r="P76" s="1"/>
      <c r="Q76" s="1"/>
      <c r="R76" s="1"/>
      <c r="S76" s="1"/>
      <c r="T76" s="1"/>
      <c r="U76" s="1"/>
      <c r="V76" s="1"/>
      <c r="W76" s="1"/>
      <c r="X76" s="1"/>
      <c r="Y76" s="1"/>
    </row>
    <row r="77" spans="1:25" x14ac:dyDescent="0.25">
      <c r="A77" s="2">
        <v>44222.285991296296</v>
      </c>
      <c r="B77" s="1" t="s">
        <v>189</v>
      </c>
      <c r="C77" s="1" t="s">
        <v>187</v>
      </c>
      <c r="D77" s="91">
        <v>2017</v>
      </c>
      <c r="E77" s="1" t="s">
        <v>194</v>
      </c>
      <c r="F77" s="1">
        <v>3</v>
      </c>
      <c r="G77" s="1">
        <v>3</v>
      </c>
      <c r="H77" s="1">
        <v>2</v>
      </c>
      <c r="I77" s="1">
        <v>4</v>
      </c>
      <c r="J77" s="1">
        <v>3</v>
      </c>
      <c r="K77" s="1">
        <v>3</v>
      </c>
      <c r="L77" s="1">
        <v>4</v>
      </c>
      <c r="M77" s="1">
        <v>4</v>
      </c>
      <c r="N77" s="1">
        <v>3</v>
      </c>
      <c r="O77" s="1">
        <v>3</v>
      </c>
      <c r="P77" s="1">
        <v>2</v>
      </c>
      <c r="Q77" s="1">
        <v>2</v>
      </c>
      <c r="R77" s="1">
        <v>3</v>
      </c>
      <c r="S77" s="1">
        <v>3</v>
      </c>
      <c r="T77" s="1">
        <v>3</v>
      </c>
      <c r="U77" s="1">
        <v>3</v>
      </c>
      <c r="V77" s="1">
        <v>3</v>
      </c>
      <c r="W77" s="1">
        <v>3</v>
      </c>
      <c r="X77" s="1">
        <v>2</v>
      </c>
      <c r="Y77" s="1">
        <v>3</v>
      </c>
    </row>
    <row r="78" spans="1:25" x14ac:dyDescent="0.25">
      <c r="A78" s="2">
        <v>44232.966560081019</v>
      </c>
      <c r="B78" s="1" t="s">
        <v>189</v>
      </c>
      <c r="C78" s="1" t="s">
        <v>187</v>
      </c>
      <c r="D78" s="91" t="s">
        <v>190</v>
      </c>
      <c r="E78" s="1" t="s">
        <v>196</v>
      </c>
      <c r="F78" s="1">
        <v>1</v>
      </c>
      <c r="G78" s="1">
        <v>0</v>
      </c>
      <c r="H78" s="1">
        <v>0</v>
      </c>
      <c r="I78" s="1">
        <v>5</v>
      </c>
      <c r="J78" s="1">
        <v>4</v>
      </c>
      <c r="K78" s="1">
        <v>4</v>
      </c>
      <c r="L78" s="1">
        <v>5</v>
      </c>
      <c r="M78" s="1">
        <v>0</v>
      </c>
      <c r="N78" s="1">
        <v>4</v>
      </c>
      <c r="O78" s="1">
        <v>5</v>
      </c>
      <c r="P78" s="1">
        <v>0</v>
      </c>
      <c r="Q78" s="1">
        <v>4</v>
      </c>
      <c r="R78" s="1">
        <v>3</v>
      </c>
      <c r="S78" s="1">
        <v>2</v>
      </c>
      <c r="T78" s="1">
        <v>2</v>
      </c>
      <c r="U78" s="1">
        <v>0</v>
      </c>
      <c r="V78" s="1">
        <v>4</v>
      </c>
      <c r="W78" s="1">
        <v>0</v>
      </c>
      <c r="X78" s="1">
        <v>4</v>
      </c>
      <c r="Y78" s="1">
        <v>0</v>
      </c>
    </row>
    <row r="79" spans="1:25" x14ac:dyDescent="0.25">
      <c r="A79" s="2">
        <v>44255.412687152777</v>
      </c>
      <c r="B79" s="1" t="s">
        <v>189</v>
      </c>
      <c r="C79" s="1" t="s">
        <v>187</v>
      </c>
      <c r="D79" s="91" t="s">
        <v>190</v>
      </c>
      <c r="E79" s="1" t="s">
        <v>191</v>
      </c>
      <c r="F79" s="1">
        <v>0</v>
      </c>
      <c r="G79" s="1">
        <v>0</v>
      </c>
      <c r="H79" s="1">
        <v>0</v>
      </c>
      <c r="I79" s="1">
        <v>0</v>
      </c>
      <c r="J79" s="1">
        <v>1</v>
      </c>
      <c r="K79" s="1">
        <v>0</v>
      </c>
      <c r="L79" s="1">
        <v>5</v>
      </c>
      <c r="M79" s="1">
        <v>0</v>
      </c>
      <c r="N79" s="1">
        <v>0</v>
      </c>
      <c r="O79" s="1">
        <v>5</v>
      </c>
      <c r="P79" s="1">
        <v>0</v>
      </c>
      <c r="Q79" s="1">
        <v>0</v>
      </c>
      <c r="R79" s="1">
        <v>0</v>
      </c>
      <c r="S79" s="1">
        <v>0</v>
      </c>
      <c r="T79" s="1">
        <v>0</v>
      </c>
      <c r="U79" s="1">
        <v>0</v>
      </c>
      <c r="V79" s="1">
        <v>0</v>
      </c>
      <c r="W79" s="1">
        <v>0</v>
      </c>
      <c r="X79" s="1">
        <v>0</v>
      </c>
      <c r="Y79" s="1">
        <v>0</v>
      </c>
    </row>
    <row r="80" spans="1:25" x14ac:dyDescent="0.25">
      <c r="A80" s="2">
        <v>44274.463429837968</v>
      </c>
      <c r="B80" s="1" t="s">
        <v>183</v>
      </c>
      <c r="C80" s="1" t="s">
        <v>184</v>
      </c>
      <c r="D80" s="91">
        <v>2018</v>
      </c>
      <c r="E80" s="1" t="s">
        <v>194</v>
      </c>
      <c r="F80" s="1">
        <v>4</v>
      </c>
      <c r="G80" s="1">
        <v>4</v>
      </c>
      <c r="H80" s="1">
        <v>2</v>
      </c>
      <c r="I80" s="1">
        <v>4</v>
      </c>
      <c r="J80" s="1">
        <v>4</v>
      </c>
      <c r="K80" s="1">
        <v>4</v>
      </c>
      <c r="L80" s="1">
        <v>3</v>
      </c>
      <c r="M80" s="1">
        <v>4</v>
      </c>
      <c r="N80" s="1">
        <v>4</v>
      </c>
      <c r="O80" s="1">
        <v>5</v>
      </c>
      <c r="P80" s="1">
        <v>2</v>
      </c>
      <c r="Q80" s="1">
        <v>4</v>
      </c>
      <c r="R80" s="1">
        <v>4</v>
      </c>
      <c r="S80" s="1">
        <v>2</v>
      </c>
      <c r="T80" s="1">
        <v>3</v>
      </c>
      <c r="U80" s="1">
        <v>0</v>
      </c>
      <c r="V80" s="1">
        <v>3</v>
      </c>
      <c r="W80" s="1">
        <v>3</v>
      </c>
      <c r="X80" s="1">
        <v>2</v>
      </c>
      <c r="Y80" s="1">
        <v>2</v>
      </c>
    </row>
    <row r="81" spans="1:25" x14ac:dyDescent="0.25">
      <c r="A81" s="2">
        <v>44274.467780324077</v>
      </c>
      <c r="B81" s="1" t="s">
        <v>188</v>
      </c>
      <c r="C81" s="1" t="s">
        <v>184</v>
      </c>
      <c r="D81" s="91" t="s">
        <v>185</v>
      </c>
      <c r="E81" s="1" t="s">
        <v>185</v>
      </c>
      <c r="F81" s="1">
        <v>5</v>
      </c>
      <c r="G81" s="1">
        <v>5</v>
      </c>
      <c r="H81" s="1">
        <v>4</v>
      </c>
      <c r="I81" s="1">
        <v>5</v>
      </c>
      <c r="J81" s="1">
        <v>5</v>
      </c>
      <c r="K81" s="1">
        <v>5</v>
      </c>
      <c r="L81" s="1">
        <v>5</v>
      </c>
      <c r="M81" s="1">
        <v>5</v>
      </c>
      <c r="N81" s="1">
        <v>5</v>
      </c>
      <c r="O81" s="1">
        <v>5</v>
      </c>
      <c r="P81" s="1">
        <v>0</v>
      </c>
      <c r="Q81" s="1">
        <v>5</v>
      </c>
      <c r="R81" s="1">
        <v>5</v>
      </c>
      <c r="S81" s="1">
        <v>4</v>
      </c>
      <c r="T81" s="1">
        <v>0</v>
      </c>
      <c r="U81" s="1">
        <v>5</v>
      </c>
      <c r="V81" s="1">
        <v>5</v>
      </c>
      <c r="W81" s="1">
        <v>5</v>
      </c>
      <c r="X81" s="1">
        <v>0</v>
      </c>
      <c r="Y81" s="1">
        <v>5</v>
      </c>
    </row>
    <row r="82" spans="1:25" x14ac:dyDescent="0.25">
      <c r="A82" s="2">
        <v>44274.474716273151</v>
      </c>
      <c r="B82" s="1" t="s">
        <v>189</v>
      </c>
      <c r="C82" s="1" t="s">
        <v>184</v>
      </c>
      <c r="D82" s="91">
        <v>2017</v>
      </c>
      <c r="E82" s="1" t="s">
        <v>194</v>
      </c>
      <c r="F82" s="1">
        <v>3</v>
      </c>
      <c r="G82" s="1">
        <v>4</v>
      </c>
      <c r="H82" s="1">
        <v>0</v>
      </c>
      <c r="I82" s="1">
        <v>5</v>
      </c>
      <c r="J82" s="1">
        <v>2</v>
      </c>
      <c r="K82" s="1">
        <v>2</v>
      </c>
      <c r="L82" s="1">
        <v>5</v>
      </c>
      <c r="M82" s="1">
        <v>4</v>
      </c>
      <c r="N82" s="1">
        <v>4</v>
      </c>
      <c r="O82" s="1">
        <v>4</v>
      </c>
      <c r="P82" s="1">
        <v>0</v>
      </c>
      <c r="Q82" s="1">
        <v>4</v>
      </c>
      <c r="R82" s="1">
        <v>4</v>
      </c>
      <c r="S82" s="1">
        <v>4</v>
      </c>
      <c r="T82" s="1">
        <v>0</v>
      </c>
      <c r="U82" s="1">
        <v>3</v>
      </c>
      <c r="V82" s="1">
        <v>4</v>
      </c>
      <c r="W82" s="1">
        <v>4</v>
      </c>
      <c r="X82" s="1">
        <v>4</v>
      </c>
      <c r="Y82" s="1">
        <v>4</v>
      </c>
    </row>
    <row r="83" spans="1:25" x14ac:dyDescent="0.25">
      <c r="A83" s="2">
        <v>44274.475077372685</v>
      </c>
      <c r="B83" s="1" t="s">
        <v>183</v>
      </c>
      <c r="C83" s="1" t="s">
        <v>184</v>
      </c>
      <c r="D83" s="91" t="s">
        <v>185</v>
      </c>
      <c r="E83" s="1" t="s">
        <v>185</v>
      </c>
      <c r="F83" s="1">
        <v>5</v>
      </c>
      <c r="G83" s="1">
        <v>5</v>
      </c>
      <c r="H83" s="1">
        <v>5</v>
      </c>
      <c r="I83" s="1">
        <v>5</v>
      </c>
      <c r="J83" s="1">
        <v>5</v>
      </c>
      <c r="K83" s="1">
        <v>5</v>
      </c>
      <c r="L83" s="1">
        <v>5</v>
      </c>
      <c r="M83" s="1">
        <v>5</v>
      </c>
      <c r="N83" s="1">
        <v>5</v>
      </c>
      <c r="O83" s="1">
        <v>5</v>
      </c>
      <c r="P83" s="1">
        <v>5</v>
      </c>
      <c r="Q83" s="1">
        <v>5</v>
      </c>
      <c r="R83" s="1">
        <v>5</v>
      </c>
      <c r="S83" s="1">
        <v>5</v>
      </c>
      <c r="T83" s="1">
        <v>5</v>
      </c>
      <c r="U83" s="1">
        <v>5</v>
      </c>
      <c r="V83" s="1">
        <v>5</v>
      </c>
      <c r="W83" s="1">
        <v>5</v>
      </c>
      <c r="X83" s="1">
        <v>5</v>
      </c>
      <c r="Y83" s="1">
        <v>5</v>
      </c>
    </row>
    <row r="84" spans="1:25" x14ac:dyDescent="0.25">
      <c r="A84" s="2">
        <v>44274.475607384258</v>
      </c>
      <c r="B84" s="1" t="s">
        <v>183</v>
      </c>
      <c r="C84" s="1" t="s">
        <v>187</v>
      </c>
      <c r="D84" s="91" t="s">
        <v>185</v>
      </c>
      <c r="E84" s="1" t="s">
        <v>185</v>
      </c>
      <c r="F84" s="1">
        <v>5</v>
      </c>
      <c r="G84" s="1">
        <v>5</v>
      </c>
      <c r="H84" s="1">
        <v>5</v>
      </c>
      <c r="I84" s="1">
        <v>5</v>
      </c>
      <c r="J84" s="1">
        <v>5</v>
      </c>
      <c r="K84" s="1">
        <v>4</v>
      </c>
      <c r="L84" s="1">
        <v>5</v>
      </c>
      <c r="M84" s="1">
        <v>5</v>
      </c>
      <c r="N84" s="1">
        <v>5</v>
      </c>
      <c r="O84" s="1">
        <v>5</v>
      </c>
      <c r="P84" s="1">
        <v>5</v>
      </c>
      <c r="Q84" s="1">
        <v>5</v>
      </c>
      <c r="R84" s="1">
        <v>5</v>
      </c>
      <c r="S84" s="1">
        <v>5</v>
      </c>
      <c r="T84" s="1">
        <v>4</v>
      </c>
      <c r="U84" s="1">
        <v>5</v>
      </c>
      <c r="V84" s="1">
        <v>5</v>
      </c>
      <c r="W84" s="1">
        <v>5</v>
      </c>
      <c r="X84" s="1">
        <v>5</v>
      </c>
      <c r="Y84" s="1">
        <v>5</v>
      </c>
    </row>
    <row r="85" spans="1:25" x14ac:dyDescent="0.25">
      <c r="A85" s="2">
        <v>44274.477157534726</v>
      </c>
      <c r="B85" s="1" t="s">
        <v>189</v>
      </c>
      <c r="C85" s="1" t="s">
        <v>187</v>
      </c>
      <c r="D85" s="91" t="s">
        <v>190</v>
      </c>
      <c r="E85" s="1" t="s">
        <v>191</v>
      </c>
      <c r="F85" s="1">
        <v>5</v>
      </c>
      <c r="G85" s="1">
        <v>4</v>
      </c>
      <c r="H85" s="1">
        <v>4</v>
      </c>
      <c r="I85" s="1">
        <v>4</v>
      </c>
      <c r="J85" s="1">
        <v>4</v>
      </c>
      <c r="K85" s="1">
        <v>4</v>
      </c>
      <c r="L85" s="1">
        <v>5</v>
      </c>
      <c r="M85" s="1">
        <v>4</v>
      </c>
      <c r="N85" s="1">
        <v>4</v>
      </c>
      <c r="O85" s="1">
        <v>5</v>
      </c>
      <c r="P85" s="1">
        <v>2</v>
      </c>
      <c r="Q85" s="1">
        <v>4</v>
      </c>
      <c r="R85" s="1">
        <v>4</v>
      </c>
      <c r="S85" s="1">
        <v>4</v>
      </c>
      <c r="T85" s="1">
        <v>0</v>
      </c>
      <c r="U85" s="1">
        <v>0</v>
      </c>
      <c r="V85" s="1">
        <v>4</v>
      </c>
      <c r="W85" s="1">
        <v>4</v>
      </c>
      <c r="X85" s="1">
        <v>4</v>
      </c>
      <c r="Y85" s="1">
        <v>4</v>
      </c>
    </row>
    <row r="86" spans="1:25" x14ac:dyDescent="0.25">
      <c r="A86" s="2">
        <v>44274.497483425926</v>
      </c>
      <c r="B86" s="1" t="s">
        <v>189</v>
      </c>
      <c r="C86" s="1" t="s">
        <v>187</v>
      </c>
      <c r="D86" s="91" t="s">
        <v>190</v>
      </c>
      <c r="E86" s="1" t="s">
        <v>191</v>
      </c>
      <c r="F86" s="1">
        <v>5</v>
      </c>
      <c r="G86" s="1">
        <v>5</v>
      </c>
      <c r="H86" s="1">
        <v>3</v>
      </c>
      <c r="I86" s="1">
        <v>5</v>
      </c>
      <c r="J86" s="1">
        <v>5</v>
      </c>
      <c r="K86" s="1">
        <v>5</v>
      </c>
      <c r="L86" s="1">
        <v>5</v>
      </c>
      <c r="M86" s="1">
        <v>3</v>
      </c>
      <c r="N86" s="1">
        <v>5</v>
      </c>
      <c r="O86" s="1">
        <v>5</v>
      </c>
      <c r="P86" s="1">
        <v>3</v>
      </c>
      <c r="Q86" s="1">
        <v>3</v>
      </c>
      <c r="R86" s="1">
        <v>3</v>
      </c>
      <c r="S86" s="1">
        <v>3</v>
      </c>
      <c r="T86" s="1">
        <v>3</v>
      </c>
      <c r="U86" s="1">
        <v>3</v>
      </c>
      <c r="V86" s="1">
        <v>3</v>
      </c>
      <c r="W86" s="1">
        <v>5</v>
      </c>
      <c r="X86" s="1">
        <v>3</v>
      </c>
      <c r="Y86" s="1">
        <v>3</v>
      </c>
    </row>
    <row r="87" spans="1:25" x14ac:dyDescent="0.25">
      <c r="A87" s="2">
        <v>44274.504245092598</v>
      </c>
      <c r="B87" s="1" t="s">
        <v>189</v>
      </c>
      <c r="C87" s="1" t="s">
        <v>184</v>
      </c>
      <c r="D87" s="91">
        <v>2018</v>
      </c>
      <c r="E87" s="1" t="s">
        <v>191</v>
      </c>
      <c r="F87" s="1">
        <v>5</v>
      </c>
      <c r="G87" s="1">
        <v>0</v>
      </c>
      <c r="H87" s="1">
        <v>0</v>
      </c>
      <c r="I87" s="1">
        <v>5</v>
      </c>
      <c r="J87" s="1">
        <v>5</v>
      </c>
      <c r="K87" s="1">
        <v>5</v>
      </c>
      <c r="L87" s="1">
        <v>5</v>
      </c>
      <c r="M87" s="1">
        <v>5</v>
      </c>
      <c r="N87" s="1">
        <v>5</v>
      </c>
      <c r="O87" s="1">
        <v>5</v>
      </c>
      <c r="P87" s="1">
        <v>0</v>
      </c>
      <c r="Q87" s="1">
        <v>5</v>
      </c>
      <c r="R87" s="1">
        <v>5</v>
      </c>
      <c r="S87" s="1">
        <v>5</v>
      </c>
      <c r="T87" s="1">
        <v>0</v>
      </c>
      <c r="U87" s="1">
        <v>0</v>
      </c>
      <c r="V87" s="1">
        <v>5</v>
      </c>
      <c r="W87" s="1">
        <v>5</v>
      </c>
      <c r="X87" s="1">
        <v>5</v>
      </c>
      <c r="Y87" s="1">
        <v>5</v>
      </c>
    </row>
    <row r="88" spans="1:25" x14ac:dyDescent="0.25">
      <c r="A88" s="2">
        <v>44274.609715960643</v>
      </c>
      <c r="B88" s="1" t="s">
        <v>189</v>
      </c>
      <c r="C88" s="1" t="s">
        <v>187</v>
      </c>
      <c r="D88" s="91" t="s">
        <v>190</v>
      </c>
      <c r="E88" s="1" t="s">
        <v>196</v>
      </c>
      <c r="F88" s="1">
        <v>4</v>
      </c>
      <c r="G88" s="1">
        <v>4</v>
      </c>
      <c r="H88" s="1">
        <v>5</v>
      </c>
      <c r="I88" s="1">
        <v>5</v>
      </c>
      <c r="J88" s="1">
        <v>4</v>
      </c>
      <c r="K88" s="1">
        <v>4</v>
      </c>
      <c r="L88" s="1">
        <v>5</v>
      </c>
      <c r="M88" s="1">
        <v>5</v>
      </c>
      <c r="N88" s="1">
        <v>5</v>
      </c>
      <c r="O88" s="1">
        <v>5</v>
      </c>
      <c r="P88" s="1">
        <v>5</v>
      </c>
      <c r="Q88" s="1">
        <v>5</v>
      </c>
      <c r="R88" s="1">
        <v>5</v>
      </c>
      <c r="S88" s="1">
        <v>5</v>
      </c>
      <c r="T88" s="1">
        <v>5</v>
      </c>
      <c r="U88" s="1">
        <v>5</v>
      </c>
      <c r="V88" s="1">
        <v>5</v>
      </c>
      <c r="W88" s="1">
        <v>5</v>
      </c>
      <c r="X88" s="1">
        <v>5</v>
      </c>
      <c r="Y88" s="1">
        <v>5</v>
      </c>
    </row>
    <row r="89" spans="1:25" x14ac:dyDescent="0.25">
      <c r="A89" s="2">
        <v>44274.612613865742</v>
      </c>
      <c r="B89" s="1" t="s">
        <v>189</v>
      </c>
      <c r="C89" s="1" t="s">
        <v>192</v>
      </c>
      <c r="D89" s="91" t="s">
        <v>190</v>
      </c>
      <c r="E89" s="1" t="s">
        <v>191</v>
      </c>
      <c r="F89" s="1">
        <v>0</v>
      </c>
      <c r="G89" s="1">
        <v>4</v>
      </c>
      <c r="H89" s="1">
        <v>4</v>
      </c>
      <c r="I89" s="1">
        <v>5</v>
      </c>
      <c r="J89" s="1">
        <v>4</v>
      </c>
      <c r="K89" s="1">
        <v>4</v>
      </c>
      <c r="L89" s="1">
        <v>5</v>
      </c>
      <c r="M89" s="1">
        <v>0</v>
      </c>
      <c r="N89" s="1">
        <v>0</v>
      </c>
      <c r="O89" s="1">
        <v>5</v>
      </c>
      <c r="P89" s="1">
        <v>0</v>
      </c>
      <c r="Q89" s="1">
        <v>5</v>
      </c>
      <c r="R89" s="1">
        <v>5</v>
      </c>
      <c r="S89" s="1">
        <v>5</v>
      </c>
      <c r="T89" s="1">
        <v>0</v>
      </c>
      <c r="U89" s="1">
        <v>0</v>
      </c>
      <c r="V89" s="1">
        <v>5</v>
      </c>
      <c r="W89" s="1">
        <v>0</v>
      </c>
      <c r="X89" s="1">
        <v>5</v>
      </c>
      <c r="Y89" s="1">
        <v>4</v>
      </c>
    </row>
    <row r="90" spans="1:25" x14ac:dyDescent="0.25">
      <c r="A90" s="2">
        <v>44274.622017569447</v>
      </c>
      <c r="B90" s="1" t="s">
        <v>188</v>
      </c>
      <c r="C90" s="1" t="s">
        <v>187</v>
      </c>
      <c r="D90" s="91" t="s">
        <v>185</v>
      </c>
      <c r="E90" s="1" t="s">
        <v>185</v>
      </c>
      <c r="F90" s="1">
        <v>4</v>
      </c>
      <c r="G90" s="1">
        <v>0</v>
      </c>
      <c r="H90" s="1">
        <v>0</v>
      </c>
      <c r="I90" s="1">
        <v>5</v>
      </c>
      <c r="J90" s="1">
        <v>5</v>
      </c>
      <c r="K90" s="1">
        <v>5</v>
      </c>
      <c r="L90" s="1">
        <v>5</v>
      </c>
      <c r="M90" s="1">
        <v>0</v>
      </c>
      <c r="N90" s="1">
        <v>4</v>
      </c>
      <c r="O90" s="1">
        <v>5</v>
      </c>
      <c r="P90" s="1">
        <v>0</v>
      </c>
      <c r="Q90" s="1">
        <v>5</v>
      </c>
      <c r="R90" s="1">
        <v>5</v>
      </c>
      <c r="S90" s="1">
        <v>0</v>
      </c>
      <c r="T90" s="1">
        <v>0</v>
      </c>
      <c r="U90" s="1">
        <v>0</v>
      </c>
      <c r="V90" s="1">
        <v>3</v>
      </c>
      <c r="W90" s="1">
        <v>4</v>
      </c>
      <c r="X90" s="1">
        <v>4</v>
      </c>
      <c r="Y90" s="1">
        <v>4</v>
      </c>
    </row>
    <row r="91" spans="1:25" x14ac:dyDescent="0.25">
      <c r="A91" s="2">
        <v>44274.622370775462</v>
      </c>
      <c r="B91" s="1" t="s">
        <v>188</v>
      </c>
      <c r="C91" s="1" t="s">
        <v>187</v>
      </c>
      <c r="D91" s="91" t="s">
        <v>185</v>
      </c>
      <c r="E91" s="1" t="s">
        <v>185</v>
      </c>
      <c r="F91" s="1">
        <v>4</v>
      </c>
      <c r="G91" s="1">
        <v>5</v>
      </c>
      <c r="H91" s="1">
        <v>0</v>
      </c>
      <c r="I91" s="1">
        <v>5</v>
      </c>
      <c r="J91" s="1">
        <v>5</v>
      </c>
      <c r="K91" s="1">
        <v>5</v>
      </c>
      <c r="L91" s="1">
        <v>5</v>
      </c>
      <c r="M91" s="1">
        <v>5</v>
      </c>
      <c r="N91" s="1">
        <v>5</v>
      </c>
      <c r="O91" s="1">
        <v>5</v>
      </c>
      <c r="P91" s="1">
        <v>0</v>
      </c>
      <c r="Q91" s="1">
        <v>5</v>
      </c>
      <c r="R91" s="1">
        <v>5</v>
      </c>
      <c r="S91" s="1">
        <v>4</v>
      </c>
      <c r="T91" s="1">
        <v>5</v>
      </c>
      <c r="U91" s="1">
        <v>5</v>
      </c>
      <c r="V91" s="1">
        <v>5</v>
      </c>
      <c r="W91" s="1">
        <v>5</v>
      </c>
      <c r="X91" s="1">
        <v>5</v>
      </c>
      <c r="Y91" s="1">
        <v>5</v>
      </c>
    </row>
    <row r="92" spans="1:25" x14ac:dyDescent="0.25">
      <c r="A92" s="2">
        <v>44274.624975879633</v>
      </c>
      <c r="B92" s="1" t="s">
        <v>189</v>
      </c>
      <c r="C92" s="1" t="s">
        <v>187</v>
      </c>
      <c r="D92" s="91">
        <v>2018</v>
      </c>
      <c r="E92" s="1" t="s">
        <v>194</v>
      </c>
      <c r="F92" s="1">
        <v>3</v>
      </c>
      <c r="G92" s="1">
        <v>0</v>
      </c>
      <c r="H92" s="1">
        <v>0</v>
      </c>
      <c r="I92" s="1">
        <v>4</v>
      </c>
      <c r="J92" s="1">
        <v>0</v>
      </c>
      <c r="K92" s="1">
        <v>4</v>
      </c>
      <c r="L92" s="1">
        <v>4</v>
      </c>
      <c r="M92" s="1">
        <v>3</v>
      </c>
      <c r="N92" s="1">
        <v>3</v>
      </c>
      <c r="O92" s="1">
        <v>4</v>
      </c>
      <c r="P92" s="1">
        <v>0</v>
      </c>
      <c r="Q92" s="1">
        <v>0</v>
      </c>
      <c r="R92" s="1">
        <v>0</v>
      </c>
      <c r="S92" s="1">
        <v>0</v>
      </c>
      <c r="T92" s="1">
        <v>0</v>
      </c>
      <c r="U92" s="1">
        <v>0</v>
      </c>
      <c r="V92" s="1">
        <v>0</v>
      </c>
      <c r="W92" s="1">
        <v>0</v>
      </c>
      <c r="X92" s="1">
        <v>3</v>
      </c>
      <c r="Y92" s="1">
        <v>0</v>
      </c>
    </row>
    <row r="93" spans="1:25" x14ac:dyDescent="0.25">
      <c r="A93" s="2">
        <v>44274.631478599535</v>
      </c>
      <c r="B93" s="1" t="s">
        <v>183</v>
      </c>
      <c r="C93" s="1" t="s">
        <v>187</v>
      </c>
      <c r="D93" s="91" t="s">
        <v>185</v>
      </c>
      <c r="E93" s="1" t="s">
        <v>185</v>
      </c>
      <c r="F93" s="1">
        <v>5</v>
      </c>
      <c r="G93" s="1">
        <v>5</v>
      </c>
      <c r="H93" s="1">
        <v>5</v>
      </c>
      <c r="I93" s="1">
        <v>5</v>
      </c>
      <c r="J93" s="1">
        <v>3</v>
      </c>
      <c r="K93" s="1">
        <v>5</v>
      </c>
      <c r="L93" s="1">
        <v>5</v>
      </c>
      <c r="M93" s="1">
        <v>5</v>
      </c>
      <c r="N93" s="1">
        <v>5</v>
      </c>
      <c r="O93" s="1">
        <v>5</v>
      </c>
      <c r="P93" s="1">
        <v>5</v>
      </c>
      <c r="Q93" s="1">
        <v>5</v>
      </c>
      <c r="R93" s="1">
        <v>5</v>
      </c>
      <c r="S93" s="1">
        <v>4</v>
      </c>
      <c r="T93" s="1">
        <v>4</v>
      </c>
      <c r="U93" s="1">
        <v>4</v>
      </c>
      <c r="V93" s="1">
        <v>5</v>
      </c>
      <c r="W93" s="1">
        <v>5</v>
      </c>
      <c r="X93" s="1">
        <v>4</v>
      </c>
      <c r="Y93" s="1">
        <v>5</v>
      </c>
    </row>
    <row r="94" spans="1:25" x14ac:dyDescent="0.25">
      <c r="A94" s="2">
        <v>44274.636205868053</v>
      </c>
      <c r="B94" s="1" t="s">
        <v>183</v>
      </c>
      <c r="C94" s="1" t="s">
        <v>187</v>
      </c>
      <c r="D94" s="91" t="s">
        <v>185</v>
      </c>
      <c r="E94" s="1" t="s">
        <v>185</v>
      </c>
      <c r="F94" s="1">
        <v>5</v>
      </c>
      <c r="G94" s="1">
        <v>5</v>
      </c>
      <c r="H94" s="1">
        <v>0</v>
      </c>
      <c r="I94" s="1">
        <v>5</v>
      </c>
      <c r="J94" s="1">
        <v>5</v>
      </c>
      <c r="K94" s="1">
        <v>5</v>
      </c>
      <c r="L94" s="1">
        <v>5</v>
      </c>
      <c r="M94" s="1">
        <v>5</v>
      </c>
      <c r="N94" s="1">
        <v>5</v>
      </c>
      <c r="O94" s="1">
        <v>5</v>
      </c>
      <c r="P94" s="1">
        <v>0</v>
      </c>
      <c r="Q94" s="1">
        <v>4</v>
      </c>
      <c r="R94" s="1">
        <v>4</v>
      </c>
      <c r="S94" s="1">
        <v>4</v>
      </c>
      <c r="T94" s="1">
        <v>5</v>
      </c>
      <c r="U94" s="1">
        <v>5</v>
      </c>
      <c r="V94" s="1">
        <v>5</v>
      </c>
      <c r="W94" s="1">
        <v>4</v>
      </c>
      <c r="X94" s="1">
        <v>0</v>
      </c>
      <c r="Y94" s="1">
        <v>5</v>
      </c>
    </row>
    <row r="95" spans="1:25" x14ac:dyDescent="0.25">
      <c r="A95" s="2">
        <v>44274.663916655089</v>
      </c>
      <c r="B95" s="1" t="s">
        <v>189</v>
      </c>
      <c r="C95" s="1" t="s">
        <v>187</v>
      </c>
      <c r="D95" s="91" t="s">
        <v>190</v>
      </c>
      <c r="E95" s="1" t="s">
        <v>191</v>
      </c>
      <c r="F95" s="1">
        <v>5</v>
      </c>
      <c r="G95" s="1">
        <v>5</v>
      </c>
      <c r="H95" s="1">
        <v>4</v>
      </c>
      <c r="I95" s="1">
        <v>5</v>
      </c>
      <c r="J95" s="1">
        <v>5</v>
      </c>
      <c r="K95" s="1">
        <v>3</v>
      </c>
      <c r="L95" s="1">
        <v>5</v>
      </c>
      <c r="M95" s="1">
        <v>4</v>
      </c>
      <c r="N95" s="1">
        <v>4</v>
      </c>
      <c r="O95" s="1">
        <v>5</v>
      </c>
      <c r="P95" s="1">
        <v>3</v>
      </c>
      <c r="Q95" s="1">
        <v>5</v>
      </c>
      <c r="R95" s="1">
        <v>4</v>
      </c>
      <c r="S95" s="1">
        <v>4</v>
      </c>
      <c r="T95" s="1">
        <v>4</v>
      </c>
      <c r="U95" s="1">
        <v>0</v>
      </c>
      <c r="V95" s="1">
        <v>4</v>
      </c>
      <c r="W95" s="1">
        <v>5</v>
      </c>
      <c r="X95" s="1">
        <v>0</v>
      </c>
      <c r="Y95" s="1">
        <v>0</v>
      </c>
    </row>
    <row r="96" spans="1:25" x14ac:dyDescent="0.25">
      <c r="A96" s="2">
        <v>44274.667470046297</v>
      </c>
      <c r="B96" s="1" t="s">
        <v>183</v>
      </c>
      <c r="C96" s="1" t="s">
        <v>187</v>
      </c>
      <c r="D96" s="91" t="s">
        <v>185</v>
      </c>
      <c r="E96" s="1" t="s">
        <v>185</v>
      </c>
      <c r="F96" s="1">
        <v>4</v>
      </c>
      <c r="G96" s="1">
        <v>5</v>
      </c>
      <c r="H96" s="1">
        <v>5</v>
      </c>
      <c r="I96" s="1">
        <v>5</v>
      </c>
      <c r="J96" s="1">
        <v>5</v>
      </c>
      <c r="K96" s="1">
        <v>5</v>
      </c>
      <c r="L96" s="1">
        <v>5</v>
      </c>
      <c r="M96" s="1">
        <v>5</v>
      </c>
      <c r="N96" s="1">
        <v>5</v>
      </c>
      <c r="O96" s="1">
        <v>5</v>
      </c>
      <c r="P96" s="1">
        <v>5</v>
      </c>
      <c r="Q96" s="1">
        <v>5</v>
      </c>
      <c r="R96" s="1">
        <v>5</v>
      </c>
      <c r="S96" s="1">
        <v>5</v>
      </c>
      <c r="T96" s="1">
        <v>5</v>
      </c>
      <c r="U96" s="1">
        <v>5</v>
      </c>
      <c r="V96" s="1">
        <v>5</v>
      </c>
      <c r="W96" s="1">
        <v>5</v>
      </c>
      <c r="X96" s="1">
        <v>5</v>
      </c>
      <c r="Y96" s="1">
        <v>5</v>
      </c>
    </row>
    <row r="97" spans="1:27" x14ac:dyDescent="0.25">
      <c r="A97" s="2">
        <v>44274.713341712966</v>
      </c>
      <c r="B97" s="1" t="s">
        <v>189</v>
      </c>
      <c r="C97" s="1" t="s">
        <v>184</v>
      </c>
      <c r="D97" s="91" t="s">
        <v>190</v>
      </c>
      <c r="E97" s="1" t="s">
        <v>191</v>
      </c>
      <c r="F97" s="1">
        <v>0</v>
      </c>
      <c r="G97" s="1">
        <v>4</v>
      </c>
      <c r="H97" s="1">
        <v>4</v>
      </c>
      <c r="I97" s="1">
        <v>5</v>
      </c>
      <c r="J97" s="1">
        <v>4</v>
      </c>
      <c r="K97" s="1">
        <v>4</v>
      </c>
      <c r="L97" s="1">
        <v>5</v>
      </c>
      <c r="M97" s="1">
        <v>5</v>
      </c>
      <c r="N97" s="1">
        <v>5</v>
      </c>
      <c r="O97" s="1">
        <v>5</v>
      </c>
      <c r="P97" s="1">
        <v>4</v>
      </c>
      <c r="Q97" s="1">
        <v>4</v>
      </c>
      <c r="R97" s="1">
        <v>4</v>
      </c>
      <c r="S97" s="1">
        <v>4</v>
      </c>
      <c r="T97" s="1">
        <v>4</v>
      </c>
      <c r="U97" s="1">
        <v>4</v>
      </c>
      <c r="V97" s="1">
        <v>4</v>
      </c>
      <c r="W97" s="1">
        <v>4</v>
      </c>
      <c r="X97" s="1">
        <v>4</v>
      </c>
      <c r="Y97" s="1">
        <v>4</v>
      </c>
      <c r="AA97" s="1" t="s">
        <v>206</v>
      </c>
    </row>
    <row r="98" spans="1:27" x14ac:dyDescent="0.25">
      <c r="A98" s="2">
        <v>44274.748301689819</v>
      </c>
      <c r="B98" s="1" t="s">
        <v>189</v>
      </c>
      <c r="C98" s="1" t="s">
        <v>184</v>
      </c>
      <c r="D98" s="91">
        <v>2017</v>
      </c>
      <c r="E98" s="1" t="s">
        <v>191</v>
      </c>
      <c r="F98" s="1">
        <v>2</v>
      </c>
      <c r="G98" s="1">
        <v>0</v>
      </c>
      <c r="H98" s="1">
        <v>0</v>
      </c>
      <c r="I98" s="1">
        <v>3</v>
      </c>
      <c r="J98" s="1">
        <v>3</v>
      </c>
      <c r="K98" s="1">
        <v>3</v>
      </c>
      <c r="L98" s="1">
        <v>4</v>
      </c>
      <c r="M98" s="1">
        <v>2</v>
      </c>
      <c r="N98" s="1">
        <v>3</v>
      </c>
      <c r="O98" s="1">
        <v>3</v>
      </c>
      <c r="P98" s="1">
        <v>0</v>
      </c>
      <c r="Q98" s="1">
        <v>2</v>
      </c>
      <c r="R98" s="1">
        <v>2</v>
      </c>
      <c r="S98" s="1">
        <v>3</v>
      </c>
      <c r="T98" s="1">
        <v>3</v>
      </c>
      <c r="U98" s="1">
        <v>0</v>
      </c>
      <c r="V98" s="1">
        <v>3</v>
      </c>
      <c r="W98" s="1">
        <v>1</v>
      </c>
      <c r="X98" s="1">
        <v>2</v>
      </c>
      <c r="Y98" s="1">
        <v>2</v>
      </c>
    </row>
    <row r="99" spans="1:27" x14ac:dyDescent="0.25">
      <c r="A99" s="2">
        <v>44274.801036354169</v>
      </c>
      <c r="B99" s="1" t="s">
        <v>183</v>
      </c>
      <c r="C99" s="1" t="s">
        <v>192</v>
      </c>
      <c r="D99" s="91" t="s">
        <v>185</v>
      </c>
      <c r="E99" s="1" t="s">
        <v>185</v>
      </c>
      <c r="F99" s="1">
        <v>1</v>
      </c>
      <c r="G99" s="1">
        <v>1</v>
      </c>
      <c r="H99" s="1">
        <v>1</v>
      </c>
      <c r="I99" s="1">
        <v>2</v>
      </c>
      <c r="J99" s="1">
        <v>2</v>
      </c>
      <c r="K99" s="1">
        <v>4</v>
      </c>
      <c r="L99" s="1">
        <v>4</v>
      </c>
      <c r="M99" s="1">
        <v>3</v>
      </c>
      <c r="N99" s="1">
        <v>4</v>
      </c>
      <c r="O99" s="1">
        <v>5</v>
      </c>
      <c r="P99" s="1">
        <v>0</v>
      </c>
      <c r="Q99" s="1">
        <v>1</v>
      </c>
      <c r="R99" s="1">
        <v>3</v>
      </c>
      <c r="S99" s="1">
        <v>2</v>
      </c>
      <c r="T99" s="1">
        <v>3</v>
      </c>
      <c r="U99" s="1">
        <v>5</v>
      </c>
      <c r="V99" s="1">
        <v>3</v>
      </c>
      <c r="W99" s="1">
        <v>5</v>
      </c>
      <c r="X99" s="1">
        <v>0</v>
      </c>
      <c r="Y99" s="1">
        <v>0</v>
      </c>
    </row>
    <row r="100" spans="1:27" x14ac:dyDescent="0.25">
      <c r="A100" s="2">
        <v>44275.409009918978</v>
      </c>
      <c r="B100" s="1" t="s">
        <v>183</v>
      </c>
      <c r="C100" s="1" t="s">
        <v>192</v>
      </c>
      <c r="D100" s="91" t="s">
        <v>185</v>
      </c>
      <c r="E100" s="1" t="s">
        <v>185</v>
      </c>
      <c r="F100" s="1">
        <v>3</v>
      </c>
      <c r="G100" s="1">
        <v>5</v>
      </c>
      <c r="H100" s="1">
        <v>0</v>
      </c>
      <c r="I100" s="1">
        <v>5</v>
      </c>
      <c r="J100" s="1">
        <v>5</v>
      </c>
      <c r="K100" s="1">
        <v>5</v>
      </c>
      <c r="L100" s="1">
        <v>5</v>
      </c>
      <c r="M100" s="1">
        <v>0</v>
      </c>
      <c r="N100" s="1">
        <v>5</v>
      </c>
      <c r="O100" s="1">
        <v>5</v>
      </c>
      <c r="P100" s="1">
        <v>0</v>
      </c>
      <c r="Q100" s="1">
        <v>0</v>
      </c>
      <c r="R100" s="1">
        <v>0</v>
      </c>
      <c r="S100" s="1">
        <v>5</v>
      </c>
      <c r="T100" s="1">
        <v>5</v>
      </c>
      <c r="U100" s="1">
        <v>5</v>
      </c>
      <c r="V100" s="1">
        <v>0</v>
      </c>
      <c r="W100" s="1">
        <v>2</v>
      </c>
      <c r="X100" s="1">
        <v>1</v>
      </c>
      <c r="Y100" s="1">
        <v>1</v>
      </c>
    </row>
    <row r="101" spans="1:27" x14ac:dyDescent="0.25">
      <c r="A101" s="2">
        <v>44276.44264804398</v>
      </c>
      <c r="B101" s="1" t="s">
        <v>183</v>
      </c>
      <c r="C101" s="1" t="s">
        <v>184</v>
      </c>
      <c r="D101" s="91" t="s">
        <v>185</v>
      </c>
      <c r="E101" s="1" t="s">
        <v>185</v>
      </c>
      <c r="F101" s="1">
        <v>0</v>
      </c>
      <c r="G101" s="1">
        <v>0</v>
      </c>
      <c r="H101" s="1">
        <v>4</v>
      </c>
      <c r="I101" s="1">
        <v>5</v>
      </c>
      <c r="J101" s="1">
        <v>3</v>
      </c>
      <c r="K101" s="1">
        <v>3</v>
      </c>
      <c r="L101" s="1">
        <v>4</v>
      </c>
      <c r="M101" s="1">
        <v>5</v>
      </c>
      <c r="N101" s="1">
        <v>5</v>
      </c>
      <c r="O101" s="1">
        <v>5</v>
      </c>
      <c r="P101" s="1">
        <v>0</v>
      </c>
      <c r="Q101" s="1">
        <v>3</v>
      </c>
      <c r="R101" s="1">
        <v>5</v>
      </c>
      <c r="S101" s="1">
        <v>5</v>
      </c>
      <c r="T101" s="1">
        <v>5</v>
      </c>
      <c r="U101" s="1">
        <v>5</v>
      </c>
      <c r="V101" s="1">
        <v>0</v>
      </c>
      <c r="W101" s="1">
        <v>3</v>
      </c>
      <c r="X101" s="1">
        <v>3</v>
      </c>
      <c r="Y101" s="1">
        <v>4</v>
      </c>
      <c r="AA101" s="1" t="s">
        <v>207</v>
      </c>
    </row>
    <row r="102" spans="1:27" x14ac:dyDescent="0.25">
      <c r="A102" s="2">
        <v>44276.468882858797</v>
      </c>
      <c r="B102" s="1" t="s">
        <v>183</v>
      </c>
      <c r="C102" s="1" t="s">
        <v>184</v>
      </c>
      <c r="D102" s="91" t="s">
        <v>185</v>
      </c>
      <c r="E102" s="1" t="s">
        <v>185</v>
      </c>
      <c r="F102" s="1">
        <v>5</v>
      </c>
      <c r="G102" s="1">
        <v>4</v>
      </c>
      <c r="H102" s="1">
        <v>5</v>
      </c>
      <c r="I102" s="1">
        <v>5</v>
      </c>
      <c r="J102" s="1">
        <v>5</v>
      </c>
      <c r="K102" s="1">
        <v>5</v>
      </c>
      <c r="L102" s="1">
        <v>5</v>
      </c>
      <c r="M102" s="1">
        <v>5</v>
      </c>
      <c r="N102" s="1">
        <v>5</v>
      </c>
      <c r="O102" s="1">
        <v>5</v>
      </c>
      <c r="P102" s="1">
        <v>4</v>
      </c>
      <c r="Q102" s="1">
        <v>5</v>
      </c>
      <c r="R102" s="1">
        <v>5</v>
      </c>
      <c r="S102" s="1">
        <v>4</v>
      </c>
      <c r="T102" s="1">
        <v>5</v>
      </c>
      <c r="U102" s="1">
        <v>5</v>
      </c>
      <c r="V102" s="1">
        <v>4</v>
      </c>
      <c r="W102" s="1">
        <v>5</v>
      </c>
      <c r="X102" s="1">
        <v>5</v>
      </c>
      <c r="Y102" s="1">
        <v>5</v>
      </c>
    </row>
    <row r="103" spans="1:27" x14ac:dyDescent="0.25">
      <c r="A103" s="2">
        <v>44277.273795694447</v>
      </c>
      <c r="B103" s="1" t="s">
        <v>183</v>
      </c>
      <c r="C103" s="1" t="s">
        <v>187</v>
      </c>
      <c r="D103" s="91">
        <v>2020</v>
      </c>
      <c r="E103" s="1" t="s">
        <v>191</v>
      </c>
      <c r="F103" s="1">
        <v>5</v>
      </c>
      <c r="G103" s="1">
        <v>5</v>
      </c>
      <c r="H103" s="1">
        <v>4</v>
      </c>
      <c r="I103" s="1">
        <v>5</v>
      </c>
      <c r="J103" s="1">
        <v>5</v>
      </c>
      <c r="K103" s="1">
        <v>5</v>
      </c>
      <c r="L103" s="1">
        <v>5</v>
      </c>
      <c r="M103" s="1">
        <v>5</v>
      </c>
      <c r="N103" s="1">
        <v>5</v>
      </c>
      <c r="O103" s="1">
        <v>5</v>
      </c>
      <c r="P103" s="1">
        <v>4</v>
      </c>
      <c r="Q103" s="1">
        <v>5</v>
      </c>
      <c r="R103" s="1">
        <v>5</v>
      </c>
      <c r="S103" s="1">
        <v>4</v>
      </c>
      <c r="T103" s="1">
        <v>5</v>
      </c>
      <c r="U103" s="1">
        <v>5</v>
      </c>
      <c r="V103" s="1">
        <v>5</v>
      </c>
      <c r="W103" s="1">
        <v>5</v>
      </c>
      <c r="X103" s="1">
        <v>4</v>
      </c>
      <c r="Y103" s="1">
        <v>4</v>
      </c>
    </row>
    <row r="104" spans="1:27" x14ac:dyDescent="0.25">
      <c r="A104" s="2">
        <v>44277.358773854168</v>
      </c>
      <c r="B104" s="1" t="s">
        <v>183</v>
      </c>
      <c r="C104" s="1" t="s">
        <v>184</v>
      </c>
      <c r="D104" s="91" t="s">
        <v>185</v>
      </c>
      <c r="E104" s="1" t="s">
        <v>185</v>
      </c>
      <c r="F104" s="1">
        <v>4</v>
      </c>
      <c r="G104" s="1">
        <v>5</v>
      </c>
      <c r="H104" s="1">
        <v>4</v>
      </c>
      <c r="I104" s="1">
        <v>5</v>
      </c>
      <c r="J104" s="1">
        <v>4</v>
      </c>
      <c r="K104" s="1">
        <v>5</v>
      </c>
      <c r="L104" s="1">
        <v>5</v>
      </c>
      <c r="M104" s="1">
        <v>5</v>
      </c>
      <c r="N104" s="1">
        <v>5</v>
      </c>
      <c r="O104" s="1">
        <v>5</v>
      </c>
      <c r="P104" s="1">
        <v>0</v>
      </c>
      <c r="Q104" s="1">
        <v>5</v>
      </c>
      <c r="R104" s="1">
        <v>4</v>
      </c>
      <c r="S104" s="1">
        <v>4</v>
      </c>
      <c r="T104" s="1">
        <v>4</v>
      </c>
      <c r="U104" s="1">
        <v>5</v>
      </c>
      <c r="V104" s="1">
        <v>5</v>
      </c>
      <c r="W104" s="1">
        <v>4</v>
      </c>
      <c r="X104" s="1">
        <v>5</v>
      </c>
      <c r="Y104" s="1">
        <v>5</v>
      </c>
    </row>
    <row r="105" spans="1:27" x14ac:dyDescent="0.25">
      <c r="A105" s="2">
        <v>44277.576968020832</v>
      </c>
      <c r="B105" s="1" t="s">
        <v>183</v>
      </c>
      <c r="C105" s="1" t="s">
        <v>184</v>
      </c>
      <c r="D105" s="91" t="s">
        <v>185</v>
      </c>
      <c r="E105" s="1" t="s">
        <v>185</v>
      </c>
      <c r="F105" s="1">
        <v>3</v>
      </c>
      <c r="G105" s="1">
        <v>3</v>
      </c>
      <c r="H105" s="1">
        <v>3</v>
      </c>
      <c r="I105" s="1">
        <v>5</v>
      </c>
      <c r="J105" s="1">
        <v>5</v>
      </c>
      <c r="K105" s="1">
        <v>5</v>
      </c>
      <c r="L105" s="1">
        <v>5</v>
      </c>
      <c r="M105" s="1">
        <v>4</v>
      </c>
      <c r="N105" s="1">
        <v>5</v>
      </c>
      <c r="O105" s="1">
        <v>5</v>
      </c>
      <c r="P105" s="1">
        <v>0</v>
      </c>
      <c r="Q105" s="1">
        <v>5</v>
      </c>
      <c r="R105" s="1">
        <v>5</v>
      </c>
      <c r="S105" s="1">
        <v>1</v>
      </c>
      <c r="T105" s="1">
        <v>5</v>
      </c>
      <c r="U105" s="1">
        <v>5</v>
      </c>
      <c r="V105" s="1">
        <v>4</v>
      </c>
      <c r="W105" s="1">
        <v>3</v>
      </c>
      <c r="X105" s="1">
        <v>2</v>
      </c>
      <c r="Y105" s="1">
        <v>3</v>
      </c>
    </row>
    <row r="106" spans="1:27" x14ac:dyDescent="0.25">
      <c r="A106" s="3">
        <v>44282.582982025458</v>
      </c>
      <c r="B106" s="1" t="s">
        <v>183</v>
      </c>
      <c r="C106" s="1" t="s">
        <v>187</v>
      </c>
      <c r="D106" s="91" t="s">
        <v>185</v>
      </c>
      <c r="E106" s="1" t="s">
        <v>185</v>
      </c>
      <c r="F106" s="1">
        <v>5</v>
      </c>
      <c r="G106" s="1">
        <v>0</v>
      </c>
      <c r="H106" s="1">
        <v>1</v>
      </c>
      <c r="I106" s="1">
        <v>5</v>
      </c>
      <c r="J106" s="1">
        <v>2</v>
      </c>
      <c r="K106" s="1">
        <v>4</v>
      </c>
      <c r="L106" s="1">
        <v>5</v>
      </c>
      <c r="M106" s="1">
        <v>5</v>
      </c>
      <c r="N106" s="1">
        <v>5</v>
      </c>
      <c r="O106" s="1">
        <v>5</v>
      </c>
      <c r="P106" s="1">
        <v>0</v>
      </c>
      <c r="Q106" s="1">
        <v>4</v>
      </c>
      <c r="R106" s="1">
        <v>3</v>
      </c>
      <c r="S106" s="1">
        <v>1</v>
      </c>
      <c r="T106" s="1">
        <v>4</v>
      </c>
      <c r="U106" s="1">
        <v>5</v>
      </c>
      <c r="V106" s="1">
        <v>5</v>
      </c>
      <c r="W106" s="1">
        <v>4</v>
      </c>
      <c r="X106" s="1">
        <v>3</v>
      </c>
      <c r="Y106" s="1">
        <v>5</v>
      </c>
      <c r="AA106" s="1" t="s">
        <v>208</v>
      </c>
    </row>
    <row r="107" spans="1:27" x14ac:dyDescent="0.25">
      <c r="A107" s="2">
        <v>44277.714063865744</v>
      </c>
      <c r="B107" s="1" t="s">
        <v>188</v>
      </c>
      <c r="C107" s="1" t="s">
        <v>187</v>
      </c>
      <c r="D107" s="91" t="s">
        <v>185</v>
      </c>
      <c r="E107" s="1" t="s">
        <v>185</v>
      </c>
      <c r="F107" s="1">
        <v>4</v>
      </c>
      <c r="G107" s="1">
        <v>0</v>
      </c>
      <c r="H107" s="1">
        <v>3</v>
      </c>
      <c r="I107" s="1">
        <v>5</v>
      </c>
      <c r="J107" s="1">
        <v>4</v>
      </c>
      <c r="K107" s="1">
        <v>4</v>
      </c>
      <c r="L107" s="1">
        <v>5</v>
      </c>
      <c r="M107" s="1">
        <v>5</v>
      </c>
      <c r="N107" s="1">
        <v>5</v>
      </c>
      <c r="O107" s="1">
        <v>5</v>
      </c>
      <c r="P107" s="1">
        <v>3</v>
      </c>
      <c r="Q107" s="1">
        <v>5</v>
      </c>
      <c r="R107" s="1">
        <v>4</v>
      </c>
      <c r="S107" s="1">
        <v>0</v>
      </c>
      <c r="T107" s="1">
        <v>0</v>
      </c>
      <c r="U107" s="1">
        <v>2</v>
      </c>
      <c r="V107" s="1">
        <v>2</v>
      </c>
      <c r="W107" s="1">
        <v>3</v>
      </c>
      <c r="X107" s="1">
        <v>3</v>
      </c>
      <c r="Y107" s="1">
        <v>4</v>
      </c>
    </row>
    <row r="108" spans="1:27" x14ac:dyDescent="0.25">
      <c r="A108" s="2">
        <v>44277.802193032403</v>
      </c>
      <c r="B108" s="1" t="s">
        <v>183</v>
      </c>
      <c r="C108" s="1" t="s">
        <v>187</v>
      </c>
      <c r="D108" s="91" t="s">
        <v>185</v>
      </c>
      <c r="E108" s="1" t="s">
        <v>185</v>
      </c>
      <c r="F108" s="1">
        <v>5</v>
      </c>
      <c r="G108" s="1">
        <v>5</v>
      </c>
      <c r="H108" s="1">
        <v>3</v>
      </c>
      <c r="I108" s="1">
        <v>5</v>
      </c>
      <c r="J108" s="1">
        <v>5</v>
      </c>
      <c r="K108" s="1">
        <v>5</v>
      </c>
      <c r="L108" s="1">
        <v>5</v>
      </c>
      <c r="M108" s="1">
        <v>5</v>
      </c>
      <c r="N108" s="1">
        <v>5</v>
      </c>
      <c r="O108" s="1">
        <v>5</v>
      </c>
      <c r="P108" s="1">
        <v>0</v>
      </c>
      <c r="Q108" s="1">
        <v>5</v>
      </c>
      <c r="R108" s="1">
        <v>5</v>
      </c>
      <c r="S108" s="1">
        <v>3</v>
      </c>
      <c r="T108" s="1">
        <v>5</v>
      </c>
      <c r="U108" s="1">
        <v>5</v>
      </c>
      <c r="V108" s="1">
        <v>5</v>
      </c>
      <c r="W108" s="1">
        <v>5</v>
      </c>
      <c r="X108" s="1">
        <v>3</v>
      </c>
      <c r="Y108" s="1">
        <v>4</v>
      </c>
    </row>
    <row r="109" spans="1:27" x14ac:dyDescent="0.25">
      <c r="A109" s="2">
        <v>44278.424959421296</v>
      </c>
      <c r="B109" s="1" t="s">
        <v>183</v>
      </c>
      <c r="C109" s="1" t="s">
        <v>187</v>
      </c>
      <c r="D109" s="91" t="s">
        <v>185</v>
      </c>
      <c r="E109" s="1" t="s">
        <v>185</v>
      </c>
      <c r="F109" s="1">
        <v>1</v>
      </c>
      <c r="G109" s="1">
        <v>0</v>
      </c>
      <c r="H109" s="1">
        <v>2</v>
      </c>
      <c r="I109" s="1">
        <v>4</v>
      </c>
      <c r="J109" s="1">
        <v>3</v>
      </c>
      <c r="K109" s="1">
        <v>3</v>
      </c>
      <c r="L109" s="1">
        <v>4</v>
      </c>
      <c r="M109" s="1">
        <v>4</v>
      </c>
      <c r="N109" s="1">
        <v>4</v>
      </c>
      <c r="O109" s="1">
        <v>5</v>
      </c>
      <c r="P109" s="1">
        <v>1</v>
      </c>
      <c r="Q109" s="1">
        <v>1</v>
      </c>
      <c r="R109" s="1">
        <v>0</v>
      </c>
      <c r="S109" s="1">
        <v>0</v>
      </c>
      <c r="T109" s="1">
        <v>2</v>
      </c>
      <c r="U109" s="1">
        <v>2</v>
      </c>
      <c r="V109" s="1">
        <v>0</v>
      </c>
      <c r="W109" s="1">
        <v>2</v>
      </c>
      <c r="X109" s="1">
        <v>2</v>
      </c>
      <c r="Y109" s="1">
        <v>2</v>
      </c>
    </row>
    <row r="110" spans="1:27" x14ac:dyDescent="0.25">
      <c r="A110" s="2">
        <v>44279.328947118054</v>
      </c>
      <c r="B110" s="1" t="s">
        <v>188</v>
      </c>
      <c r="C110" s="1" t="s">
        <v>184</v>
      </c>
      <c r="D110" s="91" t="s">
        <v>185</v>
      </c>
      <c r="E110" s="1" t="s">
        <v>185</v>
      </c>
      <c r="F110" s="1">
        <v>5</v>
      </c>
      <c r="G110" s="1">
        <v>0</v>
      </c>
      <c r="H110" s="1">
        <v>5</v>
      </c>
      <c r="I110" s="1">
        <v>5</v>
      </c>
      <c r="J110" s="1">
        <v>5</v>
      </c>
      <c r="K110" s="1">
        <v>5</v>
      </c>
      <c r="L110" s="1">
        <v>5</v>
      </c>
      <c r="M110" s="1">
        <v>5</v>
      </c>
      <c r="N110" s="1">
        <v>5</v>
      </c>
      <c r="O110" s="1">
        <v>5</v>
      </c>
      <c r="P110" s="1">
        <v>3</v>
      </c>
      <c r="Q110" s="1">
        <v>5</v>
      </c>
      <c r="R110" s="1">
        <v>5</v>
      </c>
      <c r="S110" s="1">
        <v>3</v>
      </c>
      <c r="T110" s="1">
        <v>5</v>
      </c>
      <c r="U110" s="1">
        <v>5</v>
      </c>
      <c r="V110" s="1">
        <v>3</v>
      </c>
      <c r="W110" s="1">
        <v>5</v>
      </c>
      <c r="X110" s="1">
        <v>3</v>
      </c>
      <c r="Y110" s="1">
        <v>3</v>
      </c>
    </row>
    <row r="111" spans="1:27" x14ac:dyDescent="0.25">
      <c r="A111" s="2">
        <v>44279.468223101852</v>
      </c>
      <c r="B111" s="1" t="s">
        <v>183</v>
      </c>
      <c r="C111" s="1" t="s">
        <v>187</v>
      </c>
      <c r="D111" s="91" t="s">
        <v>185</v>
      </c>
      <c r="E111" s="1" t="s">
        <v>185</v>
      </c>
      <c r="F111" s="1">
        <v>4</v>
      </c>
      <c r="G111" s="1">
        <v>3</v>
      </c>
      <c r="H111" s="1">
        <v>3</v>
      </c>
      <c r="I111" s="1">
        <v>4</v>
      </c>
      <c r="J111" s="1">
        <v>3</v>
      </c>
      <c r="K111" s="1">
        <v>2</v>
      </c>
      <c r="L111" s="1">
        <v>4</v>
      </c>
      <c r="M111" s="1">
        <v>4</v>
      </c>
      <c r="N111" s="1">
        <v>5</v>
      </c>
      <c r="O111" s="1">
        <v>5</v>
      </c>
      <c r="P111" s="1">
        <v>2</v>
      </c>
      <c r="Q111" s="1">
        <v>4</v>
      </c>
      <c r="R111" s="1">
        <v>4</v>
      </c>
      <c r="S111" s="1">
        <v>4</v>
      </c>
      <c r="T111" s="1">
        <v>4</v>
      </c>
      <c r="U111" s="1">
        <v>4</v>
      </c>
      <c r="V111" s="1">
        <v>3</v>
      </c>
      <c r="W111" s="1">
        <v>4</v>
      </c>
      <c r="X111" s="1">
        <v>2</v>
      </c>
      <c r="Y111" s="1">
        <v>4</v>
      </c>
    </row>
    <row r="112" spans="1:27" x14ac:dyDescent="0.25">
      <c r="A112" s="2">
        <v>44286.457526122686</v>
      </c>
      <c r="B112" s="1" t="s">
        <v>188</v>
      </c>
      <c r="C112" s="1" t="s">
        <v>184</v>
      </c>
      <c r="D112" s="91" t="s">
        <v>185</v>
      </c>
      <c r="E112" s="1" t="s">
        <v>185</v>
      </c>
      <c r="F112" s="1">
        <v>4</v>
      </c>
      <c r="G112" s="1">
        <v>5</v>
      </c>
      <c r="H112" s="1">
        <v>4</v>
      </c>
      <c r="I112" s="1">
        <v>5</v>
      </c>
      <c r="J112" s="1">
        <v>5</v>
      </c>
      <c r="K112" s="1">
        <v>5</v>
      </c>
      <c r="L112" s="1">
        <v>5</v>
      </c>
      <c r="M112" s="1">
        <v>5</v>
      </c>
      <c r="N112" s="1">
        <v>5</v>
      </c>
      <c r="O112" s="1">
        <v>5</v>
      </c>
      <c r="P112" s="1">
        <v>4</v>
      </c>
      <c r="Q112" s="1">
        <v>5</v>
      </c>
      <c r="R112" s="1">
        <v>5</v>
      </c>
      <c r="S112" s="1">
        <v>4</v>
      </c>
      <c r="T112" s="1">
        <v>4</v>
      </c>
      <c r="U112" s="1">
        <v>4</v>
      </c>
      <c r="V112" s="1">
        <v>4</v>
      </c>
      <c r="W112" s="1">
        <v>4</v>
      </c>
      <c r="X112" s="1">
        <v>4</v>
      </c>
      <c r="Y112" s="1">
        <v>4</v>
      </c>
    </row>
    <row r="113" spans="1:27" x14ac:dyDescent="0.25">
      <c r="A113" s="2">
        <v>44287.657702673612</v>
      </c>
      <c r="B113" s="1" t="s">
        <v>183</v>
      </c>
      <c r="C113" s="1" t="s">
        <v>187</v>
      </c>
      <c r="D113" s="91" t="s">
        <v>185</v>
      </c>
      <c r="E113" s="1" t="s">
        <v>185</v>
      </c>
      <c r="F113" s="1">
        <v>3</v>
      </c>
      <c r="G113" s="1">
        <v>5</v>
      </c>
      <c r="H113" s="1">
        <v>5</v>
      </c>
      <c r="I113" s="1">
        <v>5</v>
      </c>
      <c r="J113" s="1">
        <v>5</v>
      </c>
      <c r="K113" s="1">
        <v>5</v>
      </c>
      <c r="L113" s="1">
        <v>5</v>
      </c>
      <c r="M113" s="1">
        <v>5</v>
      </c>
      <c r="N113" s="1">
        <v>5</v>
      </c>
      <c r="O113" s="1">
        <v>5</v>
      </c>
      <c r="P113" s="1">
        <v>5</v>
      </c>
      <c r="Q113" s="1">
        <v>5</v>
      </c>
      <c r="R113" s="1">
        <v>5</v>
      </c>
      <c r="S113" s="1">
        <v>5</v>
      </c>
      <c r="T113" s="1">
        <v>5</v>
      </c>
      <c r="U113" s="1">
        <v>5</v>
      </c>
      <c r="V113" s="1">
        <v>5</v>
      </c>
      <c r="W113" s="1">
        <v>5</v>
      </c>
      <c r="X113" s="1">
        <v>5</v>
      </c>
      <c r="Y113" s="1">
        <v>5</v>
      </c>
    </row>
    <row r="114" spans="1:27" x14ac:dyDescent="0.25">
      <c r="A114" s="2">
        <v>44287.728564050922</v>
      </c>
      <c r="B114" s="1" t="s">
        <v>183</v>
      </c>
      <c r="C114" s="1" t="s">
        <v>187</v>
      </c>
      <c r="D114" s="91" t="s">
        <v>185</v>
      </c>
      <c r="E114" s="1" t="s">
        <v>185</v>
      </c>
      <c r="F114" s="1">
        <v>4</v>
      </c>
      <c r="G114" s="1">
        <v>5</v>
      </c>
      <c r="H114" s="1">
        <v>5</v>
      </c>
      <c r="I114" s="1">
        <v>5</v>
      </c>
      <c r="J114" s="1">
        <v>5</v>
      </c>
      <c r="K114" s="1">
        <v>5</v>
      </c>
      <c r="L114" s="1">
        <v>5</v>
      </c>
      <c r="M114" s="1">
        <v>5</v>
      </c>
      <c r="N114" s="1">
        <v>5</v>
      </c>
      <c r="O114" s="1">
        <v>5</v>
      </c>
      <c r="P114" s="1">
        <v>5</v>
      </c>
      <c r="Q114" s="1">
        <v>5</v>
      </c>
      <c r="R114" s="1">
        <v>5</v>
      </c>
      <c r="S114" s="1">
        <v>5</v>
      </c>
      <c r="T114" s="1">
        <v>5</v>
      </c>
      <c r="U114" s="1">
        <v>5</v>
      </c>
      <c r="V114" s="1">
        <v>5</v>
      </c>
      <c r="W114" s="1">
        <v>4</v>
      </c>
      <c r="X114" s="1">
        <v>4</v>
      </c>
      <c r="Y114" s="1">
        <v>4</v>
      </c>
    </row>
    <row r="115" spans="1:27" x14ac:dyDescent="0.25">
      <c r="A115" s="2">
        <v>44287.947328888884</v>
      </c>
      <c r="B115" s="1" t="s">
        <v>183</v>
      </c>
      <c r="C115" s="1" t="s">
        <v>187</v>
      </c>
      <c r="D115" s="91" t="s">
        <v>185</v>
      </c>
      <c r="E115" s="1" t="s">
        <v>185</v>
      </c>
      <c r="F115" s="1">
        <v>5</v>
      </c>
      <c r="G115" s="1">
        <v>4</v>
      </c>
      <c r="H115" s="1">
        <v>2</v>
      </c>
      <c r="I115" s="1">
        <v>5</v>
      </c>
      <c r="J115" s="1">
        <v>3</v>
      </c>
      <c r="K115" s="1">
        <v>5</v>
      </c>
      <c r="L115" s="1">
        <v>5</v>
      </c>
      <c r="M115" s="1">
        <v>4</v>
      </c>
      <c r="N115" s="1">
        <v>5</v>
      </c>
      <c r="O115" s="1">
        <v>5</v>
      </c>
      <c r="P115" s="1">
        <v>2</v>
      </c>
      <c r="Q115" s="1">
        <v>5</v>
      </c>
      <c r="R115" s="1">
        <v>5</v>
      </c>
      <c r="S115" s="1">
        <v>4</v>
      </c>
      <c r="T115" s="1">
        <v>4</v>
      </c>
      <c r="U115" s="1">
        <v>5</v>
      </c>
      <c r="V115" s="1">
        <v>5</v>
      </c>
      <c r="W115" s="1">
        <v>4</v>
      </c>
      <c r="X115" s="1">
        <v>2</v>
      </c>
      <c r="Y115" s="1">
        <v>5</v>
      </c>
    </row>
    <row r="116" spans="1:27" x14ac:dyDescent="0.25">
      <c r="A116" s="2">
        <v>44288.363633159723</v>
      </c>
      <c r="B116" s="1" t="s">
        <v>183</v>
      </c>
      <c r="C116" s="1" t="s">
        <v>187</v>
      </c>
      <c r="D116" s="91" t="s">
        <v>185</v>
      </c>
      <c r="E116" s="1" t="s">
        <v>194</v>
      </c>
      <c r="F116" s="1">
        <v>1</v>
      </c>
      <c r="G116" s="1">
        <v>0</v>
      </c>
      <c r="H116" s="1">
        <v>0</v>
      </c>
      <c r="I116" s="1">
        <v>5</v>
      </c>
      <c r="J116" s="1">
        <v>5</v>
      </c>
      <c r="K116" s="1">
        <v>4</v>
      </c>
      <c r="L116" s="1">
        <v>5</v>
      </c>
      <c r="M116" s="1">
        <v>5</v>
      </c>
      <c r="N116" s="1">
        <v>5</v>
      </c>
      <c r="O116" s="1">
        <v>5</v>
      </c>
      <c r="P116" s="1">
        <v>0</v>
      </c>
      <c r="Q116" s="1">
        <v>5</v>
      </c>
      <c r="R116" s="1">
        <v>5</v>
      </c>
      <c r="S116" s="1">
        <v>4</v>
      </c>
      <c r="T116" s="1">
        <v>4</v>
      </c>
      <c r="U116" s="1">
        <v>4</v>
      </c>
      <c r="V116" s="1">
        <v>3</v>
      </c>
      <c r="W116" s="1">
        <v>4</v>
      </c>
      <c r="X116" s="1">
        <v>4</v>
      </c>
      <c r="Y116" s="1">
        <v>5</v>
      </c>
    </row>
    <row r="117" spans="1:27" x14ac:dyDescent="0.25">
      <c r="A117" s="2">
        <v>44288.521971666662</v>
      </c>
      <c r="B117" s="1" t="s">
        <v>183</v>
      </c>
      <c r="C117" s="1" t="s">
        <v>192</v>
      </c>
      <c r="D117" s="91" t="s">
        <v>185</v>
      </c>
      <c r="E117" s="1" t="s">
        <v>185</v>
      </c>
      <c r="F117" s="1">
        <v>2</v>
      </c>
      <c r="G117" s="1">
        <v>3</v>
      </c>
      <c r="H117" s="1">
        <v>3</v>
      </c>
      <c r="I117" s="1">
        <v>4</v>
      </c>
      <c r="J117" s="1">
        <v>4</v>
      </c>
      <c r="K117" s="1">
        <v>4</v>
      </c>
      <c r="L117" s="1">
        <v>4</v>
      </c>
      <c r="M117" s="1">
        <v>4</v>
      </c>
      <c r="N117" s="1">
        <v>5</v>
      </c>
      <c r="O117" s="1">
        <v>5</v>
      </c>
      <c r="P117" s="1">
        <v>2</v>
      </c>
      <c r="Q117" s="1">
        <v>5</v>
      </c>
      <c r="R117" s="1">
        <v>5</v>
      </c>
      <c r="S117" s="1">
        <v>5</v>
      </c>
      <c r="T117" s="1">
        <v>5</v>
      </c>
      <c r="U117" s="1">
        <v>5</v>
      </c>
      <c r="V117" s="1">
        <v>5</v>
      </c>
      <c r="W117" s="1">
        <v>5</v>
      </c>
      <c r="X117" s="1">
        <v>4</v>
      </c>
      <c r="Y117" s="1">
        <v>4</v>
      </c>
    </row>
    <row r="118" spans="1:27" x14ac:dyDescent="0.25">
      <c r="A118" s="3">
        <v>44288.714986481486</v>
      </c>
      <c r="B118" s="1" t="s">
        <v>183</v>
      </c>
      <c r="C118" s="1" t="s">
        <v>192</v>
      </c>
      <c r="D118" s="91">
        <v>2019</v>
      </c>
      <c r="E118" s="1" t="s">
        <v>185</v>
      </c>
      <c r="F118" s="1">
        <v>0</v>
      </c>
      <c r="G118" s="1">
        <v>0</v>
      </c>
      <c r="H118" s="1">
        <v>0</v>
      </c>
      <c r="I118" s="1">
        <v>0</v>
      </c>
      <c r="J118" s="1">
        <v>0</v>
      </c>
      <c r="K118" s="1">
        <v>0</v>
      </c>
      <c r="L118" s="1">
        <v>0</v>
      </c>
      <c r="M118" s="1">
        <v>4</v>
      </c>
      <c r="N118" s="1">
        <v>4</v>
      </c>
      <c r="O118" s="1">
        <v>4</v>
      </c>
      <c r="P118" s="1">
        <v>0</v>
      </c>
      <c r="Q118" s="1">
        <v>4</v>
      </c>
      <c r="R118" s="1">
        <v>4</v>
      </c>
      <c r="S118" s="1">
        <v>4</v>
      </c>
      <c r="T118" s="1">
        <v>2</v>
      </c>
      <c r="U118" s="1">
        <v>0</v>
      </c>
      <c r="V118" s="1">
        <v>0</v>
      </c>
      <c r="W118" s="1">
        <v>0</v>
      </c>
      <c r="X118" s="1">
        <v>4</v>
      </c>
      <c r="Y118" s="1">
        <v>3</v>
      </c>
      <c r="Z118" s="1" t="s">
        <v>209</v>
      </c>
      <c r="AA118" s="1" t="s">
        <v>210</v>
      </c>
    </row>
    <row r="119" spans="1:27" x14ac:dyDescent="0.25">
      <c r="A119" s="2">
        <v>44290.681516064811</v>
      </c>
      <c r="B119" s="1" t="s">
        <v>183</v>
      </c>
      <c r="C119" s="1" t="s">
        <v>192</v>
      </c>
      <c r="D119" s="91" t="s">
        <v>190</v>
      </c>
      <c r="E119" s="1" t="s">
        <v>185</v>
      </c>
      <c r="F119" s="1">
        <v>0</v>
      </c>
      <c r="G119" s="1">
        <v>0</v>
      </c>
      <c r="H119" s="1">
        <v>0</v>
      </c>
      <c r="I119" s="1">
        <v>0</v>
      </c>
      <c r="J119" s="1">
        <v>0</v>
      </c>
      <c r="K119" s="1">
        <v>0</v>
      </c>
      <c r="L119" s="1">
        <v>4</v>
      </c>
      <c r="M119" s="1">
        <v>4</v>
      </c>
      <c r="N119" s="1">
        <v>0</v>
      </c>
      <c r="O119" s="1">
        <v>0</v>
      </c>
      <c r="P119" s="1">
        <v>0</v>
      </c>
      <c r="Q119" s="1">
        <v>0</v>
      </c>
      <c r="R119" s="1">
        <v>0</v>
      </c>
      <c r="S119" s="1">
        <v>0</v>
      </c>
      <c r="T119" s="1">
        <v>0</v>
      </c>
      <c r="U119" s="1">
        <v>0</v>
      </c>
      <c r="V119" s="1">
        <v>0</v>
      </c>
      <c r="W119" s="1">
        <v>0</v>
      </c>
      <c r="X119" s="1">
        <v>0</v>
      </c>
      <c r="Y119" s="1">
        <v>0</v>
      </c>
    </row>
    <row r="120" spans="1:27" x14ac:dyDescent="0.25">
      <c r="A120" s="2">
        <v>44291.631264490745</v>
      </c>
      <c r="B120" s="1" t="s">
        <v>183</v>
      </c>
      <c r="C120" s="1" t="s">
        <v>187</v>
      </c>
      <c r="D120" s="91" t="s">
        <v>185</v>
      </c>
      <c r="E120" s="1" t="s">
        <v>185</v>
      </c>
      <c r="F120" s="1">
        <v>5</v>
      </c>
      <c r="G120" s="1">
        <v>0</v>
      </c>
      <c r="H120" s="1">
        <v>0</v>
      </c>
      <c r="I120" s="1">
        <v>5</v>
      </c>
      <c r="J120" s="1">
        <v>4</v>
      </c>
      <c r="K120" s="1">
        <v>4</v>
      </c>
      <c r="L120" s="1">
        <v>4</v>
      </c>
      <c r="M120" s="1">
        <v>3</v>
      </c>
      <c r="N120" s="1">
        <v>3</v>
      </c>
      <c r="O120" s="1">
        <v>3</v>
      </c>
      <c r="P120" s="1">
        <v>0</v>
      </c>
      <c r="Q120" s="1">
        <v>1</v>
      </c>
      <c r="R120" s="1">
        <v>1</v>
      </c>
      <c r="S120" s="1">
        <v>2</v>
      </c>
      <c r="T120" s="1">
        <v>3</v>
      </c>
      <c r="U120" s="1">
        <v>4</v>
      </c>
      <c r="V120" s="1">
        <v>4</v>
      </c>
      <c r="W120" s="1">
        <v>4</v>
      </c>
      <c r="X120" s="1">
        <v>3</v>
      </c>
      <c r="Y120" s="1">
        <v>4</v>
      </c>
    </row>
    <row r="121" spans="1:27" x14ac:dyDescent="0.25">
      <c r="A121" s="2">
        <v>44295.971495810183</v>
      </c>
      <c r="B121" s="1" t="s">
        <v>183</v>
      </c>
      <c r="C121" s="1" t="s">
        <v>187</v>
      </c>
      <c r="D121" s="91" t="s">
        <v>185</v>
      </c>
      <c r="E121" s="1" t="s">
        <v>185</v>
      </c>
      <c r="F121" s="1">
        <v>5</v>
      </c>
      <c r="G121" s="1">
        <v>0</v>
      </c>
      <c r="H121" s="1">
        <v>4</v>
      </c>
      <c r="I121" s="1">
        <v>5</v>
      </c>
      <c r="J121" s="1">
        <v>5</v>
      </c>
      <c r="K121" s="1">
        <v>5</v>
      </c>
      <c r="L121" s="1">
        <v>5</v>
      </c>
      <c r="M121" s="1">
        <v>4</v>
      </c>
      <c r="N121" s="1">
        <v>4</v>
      </c>
      <c r="O121" s="1">
        <v>5</v>
      </c>
      <c r="P121" s="1">
        <v>0</v>
      </c>
      <c r="Q121" s="1">
        <v>5</v>
      </c>
      <c r="R121" s="1">
        <v>5</v>
      </c>
      <c r="S121" s="1">
        <v>2</v>
      </c>
      <c r="T121" s="1">
        <v>3</v>
      </c>
      <c r="U121" s="1">
        <v>1</v>
      </c>
      <c r="V121" s="1">
        <v>4</v>
      </c>
      <c r="W121" s="1">
        <v>3</v>
      </c>
      <c r="X121" s="1">
        <v>2</v>
      </c>
      <c r="Y121" s="1">
        <v>3</v>
      </c>
    </row>
    <row r="122" spans="1:27" ht="15.75" customHeight="1" x14ac:dyDescent="0.25"/>
    <row r="123" spans="1:27" ht="15.75" customHeight="1" x14ac:dyDescent="0.25"/>
    <row r="124" spans="1:27" ht="15.75" customHeight="1" x14ac:dyDescent="0.25"/>
    <row r="125" spans="1:27" ht="15.75" customHeight="1" x14ac:dyDescent="0.25"/>
    <row r="126" spans="1:27" ht="15.75" customHeight="1" x14ac:dyDescent="0.25"/>
    <row r="127" spans="1:27" ht="15.75" customHeight="1" x14ac:dyDescent="0.25">
      <c r="B127" s="1"/>
      <c r="C127" s="1"/>
      <c r="F127" s="9" t="s">
        <v>220</v>
      </c>
      <c r="G127" s="9" t="s">
        <v>243</v>
      </c>
      <c r="H127" s="9" t="s">
        <v>221</v>
      </c>
      <c r="I127" s="9" t="s">
        <v>222</v>
      </c>
      <c r="J127" s="9" t="s">
        <v>223</v>
      </c>
      <c r="K127" s="9" t="s">
        <v>224</v>
      </c>
      <c r="L127" s="9" t="s">
        <v>225</v>
      </c>
      <c r="M127" s="9" t="s">
        <v>226</v>
      </c>
      <c r="N127" s="9" t="s">
        <v>227</v>
      </c>
      <c r="O127" s="9" t="s">
        <v>228</v>
      </c>
      <c r="P127" s="9" t="s">
        <v>229</v>
      </c>
      <c r="Q127" s="9" t="s">
        <v>230</v>
      </c>
      <c r="R127" s="9" t="s">
        <v>231</v>
      </c>
      <c r="S127" s="9" t="s">
        <v>244</v>
      </c>
      <c r="T127" s="9" t="s">
        <v>232</v>
      </c>
      <c r="U127" s="9" t="s">
        <v>233</v>
      </c>
      <c r="V127" s="9" t="s">
        <v>234</v>
      </c>
      <c r="W127" s="9" t="s">
        <v>235</v>
      </c>
      <c r="X127" s="9" t="s">
        <v>236</v>
      </c>
      <c r="Y127" s="9" t="s">
        <v>237</v>
      </c>
    </row>
    <row r="128" spans="1:27" ht="15.75" customHeight="1" x14ac:dyDescent="0.25">
      <c r="A128" s="10" t="str">
        <f>'Dashboard-1-AVALIAÇÃO INST.'!$A$21</f>
        <v>5-ÓTIMO</v>
      </c>
      <c r="B128" s="1"/>
      <c r="C128" s="1"/>
      <c r="F128" s="7">
        <f t="shared" ref="F128:Y128" si="12">COUNTIFS(F$77:F$125,5)/$A$136</f>
        <v>0.37777777777777777</v>
      </c>
      <c r="G128" s="7">
        <f t="shared" si="12"/>
        <v>0.35555555555555557</v>
      </c>
      <c r="H128" s="7">
        <f t="shared" si="12"/>
        <v>0.2</v>
      </c>
      <c r="I128" s="7">
        <f t="shared" si="12"/>
        <v>0.73333333333333328</v>
      </c>
      <c r="J128" s="7">
        <f t="shared" si="12"/>
        <v>0.46666666666666667</v>
      </c>
      <c r="K128" s="7">
        <f t="shared" si="12"/>
        <v>0.46666666666666667</v>
      </c>
      <c r="L128" s="7">
        <f t="shared" si="12"/>
        <v>0.73333333333333328</v>
      </c>
      <c r="M128" s="7">
        <f t="shared" si="12"/>
        <v>0.48888888888888887</v>
      </c>
      <c r="N128" s="7">
        <f t="shared" si="12"/>
        <v>0.62222222222222223</v>
      </c>
      <c r="O128" s="7">
        <f t="shared" si="12"/>
        <v>0.84444444444444444</v>
      </c>
      <c r="P128" s="7">
        <f t="shared" si="12"/>
        <v>0.15555555555555556</v>
      </c>
      <c r="Q128" s="7">
        <f t="shared" si="12"/>
        <v>0.55555555555555558</v>
      </c>
      <c r="R128" s="7">
        <f t="shared" si="12"/>
        <v>0.51111111111111107</v>
      </c>
      <c r="S128" s="7">
        <f t="shared" si="12"/>
        <v>0.24444444444444444</v>
      </c>
      <c r="T128" s="7">
        <f t="shared" si="12"/>
        <v>0.33333333333333331</v>
      </c>
      <c r="U128" s="7">
        <f t="shared" si="12"/>
        <v>0.46666666666666667</v>
      </c>
      <c r="V128" s="7">
        <f t="shared" si="12"/>
        <v>0.4</v>
      </c>
      <c r="W128" s="7">
        <f t="shared" si="12"/>
        <v>0.37777777777777777</v>
      </c>
      <c r="X128" s="7">
        <f t="shared" si="12"/>
        <v>0.22222222222222221</v>
      </c>
      <c r="Y128" s="7">
        <f t="shared" si="12"/>
        <v>0.33333333333333331</v>
      </c>
    </row>
    <row r="129" spans="1:25" x14ac:dyDescent="0.25">
      <c r="A129" s="10" t="str">
        <f>'Dashboard-1-AVALIAÇÃO INST.'!$A$22</f>
        <v>4-MUITO BOM</v>
      </c>
      <c r="B129" s="1"/>
      <c r="C129" s="1"/>
      <c r="F129" s="7">
        <f t="shared" ref="F129:Y129" si="13">COUNTIFS(F$77:F$125,4)/$A$136</f>
        <v>0.22222222222222221</v>
      </c>
      <c r="G129" s="7">
        <f t="shared" si="13"/>
        <v>0.17777777777777778</v>
      </c>
      <c r="H129" s="7">
        <f t="shared" si="13"/>
        <v>0.22222222222222221</v>
      </c>
      <c r="I129" s="7">
        <f t="shared" si="13"/>
        <v>0.15555555555555556</v>
      </c>
      <c r="J129" s="7">
        <f t="shared" si="13"/>
        <v>0.22222222222222221</v>
      </c>
      <c r="K129" s="7">
        <f t="shared" si="13"/>
        <v>0.31111111111111112</v>
      </c>
      <c r="L129" s="7">
        <f t="shared" si="13"/>
        <v>0.22222222222222221</v>
      </c>
      <c r="M129" s="7">
        <f t="shared" si="13"/>
        <v>0.28888888888888886</v>
      </c>
      <c r="N129" s="7">
        <f t="shared" si="13"/>
        <v>0.22222222222222221</v>
      </c>
      <c r="O129" s="7">
        <f t="shared" si="13"/>
        <v>6.6666666666666666E-2</v>
      </c>
      <c r="P129" s="7">
        <f t="shared" si="13"/>
        <v>8.8888888888888892E-2</v>
      </c>
      <c r="Q129" s="7">
        <f t="shared" si="13"/>
        <v>0.2</v>
      </c>
      <c r="R129" s="7">
        <f t="shared" si="13"/>
        <v>0.22222222222222221</v>
      </c>
      <c r="S129" s="7">
        <f t="shared" si="13"/>
        <v>0.35555555555555557</v>
      </c>
      <c r="T129" s="7">
        <f t="shared" si="13"/>
        <v>0.22222222222222221</v>
      </c>
      <c r="U129" s="7">
        <f t="shared" si="13"/>
        <v>0.13333333333333333</v>
      </c>
      <c r="V129" s="7">
        <f t="shared" si="13"/>
        <v>0.22222222222222221</v>
      </c>
      <c r="W129" s="7">
        <f t="shared" si="13"/>
        <v>0.28888888888888886</v>
      </c>
      <c r="X129" s="7">
        <f t="shared" si="13"/>
        <v>0.26666666666666666</v>
      </c>
      <c r="Y129" s="7">
        <f t="shared" si="13"/>
        <v>0.31111111111111112</v>
      </c>
    </row>
    <row r="130" spans="1:25" x14ac:dyDescent="0.25">
      <c r="A130" s="10" t="str">
        <f>'Dashboard-1-AVALIAÇÃO INST.'!$A$23</f>
        <v>3-BOM</v>
      </c>
      <c r="B130" s="1"/>
      <c r="C130" s="1"/>
      <c r="F130" s="7">
        <f t="shared" ref="F130:Y130" si="14">COUNTIFS(F$77:F$125,3)/$A$136</f>
        <v>0.13333333333333333</v>
      </c>
      <c r="G130" s="7">
        <f t="shared" si="14"/>
        <v>8.8888888888888892E-2</v>
      </c>
      <c r="H130" s="7">
        <f t="shared" si="14"/>
        <v>0.13333333333333333</v>
      </c>
      <c r="I130" s="7">
        <f t="shared" si="14"/>
        <v>2.2222222222222223E-2</v>
      </c>
      <c r="J130" s="7">
        <f t="shared" si="14"/>
        <v>0.15555555555555556</v>
      </c>
      <c r="K130" s="7">
        <f t="shared" si="14"/>
        <v>0.1111111111111111</v>
      </c>
      <c r="L130" s="7">
        <f t="shared" si="14"/>
        <v>2.2222222222222223E-2</v>
      </c>
      <c r="M130" s="7">
        <f t="shared" si="14"/>
        <v>8.8888888888888892E-2</v>
      </c>
      <c r="N130" s="7">
        <f t="shared" si="14"/>
        <v>8.8888888888888892E-2</v>
      </c>
      <c r="O130" s="7">
        <f t="shared" si="14"/>
        <v>6.6666666666666666E-2</v>
      </c>
      <c r="P130" s="7">
        <f t="shared" si="14"/>
        <v>8.8888888888888892E-2</v>
      </c>
      <c r="Q130" s="7">
        <f t="shared" si="14"/>
        <v>4.4444444444444446E-2</v>
      </c>
      <c r="R130" s="7">
        <f t="shared" si="14"/>
        <v>0.1111111111111111</v>
      </c>
      <c r="S130" s="7">
        <f t="shared" si="14"/>
        <v>0.1111111111111111</v>
      </c>
      <c r="T130" s="7">
        <f t="shared" si="14"/>
        <v>0.15555555555555556</v>
      </c>
      <c r="U130" s="7">
        <f t="shared" si="14"/>
        <v>6.6666666666666666E-2</v>
      </c>
      <c r="V130" s="7">
        <f t="shared" si="14"/>
        <v>0.2</v>
      </c>
      <c r="W130" s="7">
        <f t="shared" si="14"/>
        <v>0.13333333333333333</v>
      </c>
      <c r="X130" s="7">
        <f t="shared" si="14"/>
        <v>0.17777777777777778</v>
      </c>
      <c r="Y130" s="7">
        <f t="shared" si="14"/>
        <v>0.13333333333333333</v>
      </c>
    </row>
    <row r="131" spans="1:25" x14ac:dyDescent="0.25">
      <c r="A131" s="10" t="str">
        <f>'Dashboard-1-AVALIAÇÃO INST.'!$A$24</f>
        <v>2-REGULAR</v>
      </c>
      <c r="B131" s="1"/>
      <c r="C131" s="1"/>
      <c r="F131" s="7">
        <f t="shared" ref="F131:Y131" si="15">COUNTIFS(F$77:F$125,2)/$A$136</f>
        <v>4.4444444444444446E-2</v>
      </c>
      <c r="G131" s="7">
        <f t="shared" si="15"/>
        <v>0</v>
      </c>
      <c r="H131" s="7">
        <f t="shared" si="15"/>
        <v>8.8888888888888892E-2</v>
      </c>
      <c r="I131" s="7">
        <f t="shared" si="15"/>
        <v>2.2222222222222223E-2</v>
      </c>
      <c r="J131" s="7">
        <f t="shared" si="15"/>
        <v>6.6666666666666666E-2</v>
      </c>
      <c r="K131" s="7">
        <f t="shared" si="15"/>
        <v>4.4444444444444446E-2</v>
      </c>
      <c r="L131" s="7">
        <f t="shared" si="15"/>
        <v>0</v>
      </c>
      <c r="M131" s="7">
        <f t="shared" si="15"/>
        <v>2.2222222222222223E-2</v>
      </c>
      <c r="N131" s="7">
        <f t="shared" si="15"/>
        <v>0</v>
      </c>
      <c r="O131" s="7">
        <f t="shared" si="15"/>
        <v>0</v>
      </c>
      <c r="P131" s="7">
        <f t="shared" si="15"/>
        <v>0.13333333333333333</v>
      </c>
      <c r="Q131" s="7">
        <f t="shared" si="15"/>
        <v>4.4444444444444446E-2</v>
      </c>
      <c r="R131" s="7">
        <f t="shared" si="15"/>
        <v>2.2222222222222223E-2</v>
      </c>
      <c r="S131" s="7">
        <f t="shared" si="15"/>
        <v>0.1111111111111111</v>
      </c>
      <c r="T131" s="7">
        <f t="shared" si="15"/>
        <v>6.6666666666666666E-2</v>
      </c>
      <c r="U131" s="7">
        <f t="shared" si="15"/>
        <v>4.4444444444444446E-2</v>
      </c>
      <c r="V131" s="7">
        <f t="shared" si="15"/>
        <v>2.2222222222222223E-2</v>
      </c>
      <c r="W131" s="7">
        <f t="shared" si="15"/>
        <v>4.4444444444444446E-2</v>
      </c>
      <c r="X131" s="7">
        <f t="shared" si="15"/>
        <v>0.17777777777777778</v>
      </c>
      <c r="Y131" s="7">
        <f t="shared" si="15"/>
        <v>6.6666666666666666E-2</v>
      </c>
    </row>
    <row r="132" spans="1:25" x14ac:dyDescent="0.25">
      <c r="A132" s="10" t="str">
        <f>'Dashboard-1-AVALIAÇÃO INST.'!$A$25</f>
        <v>1-RUIM</v>
      </c>
      <c r="B132" s="1"/>
      <c r="C132" s="1"/>
      <c r="F132" s="7">
        <f t="shared" ref="F132:Y132" si="16">COUNTIFS(F$77:F$125,1)/$A$136</f>
        <v>8.8888888888888892E-2</v>
      </c>
      <c r="G132" s="7">
        <f t="shared" si="16"/>
        <v>2.2222222222222223E-2</v>
      </c>
      <c r="H132" s="7">
        <f t="shared" si="16"/>
        <v>4.4444444444444446E-2</v>
      </c>
      <c r="I132" s="7">
        <f t="shared" si="16"/>
        <v>0</v>
      </c>
      <c r="J132" s="7">
        <f t="shared" si="16"/>
        <v>2.2222222222222223E-2</v>
      </c>
      <c r="K132" s="7">
        <f t="shared" si="16"/>
        <v>0</v>
      </c>
      <c r="L132" s="7">
        <f t="shared" si="16"/>
        <v>0</v>
      </c>
      <c r="M132" s="7">
        <f t="shared" si="16"/>
        <v>0</v>
      </c>
      <c r="N132" s="7">
        <f t="shared" si="16"/>
        <v>0</v>
      </c>
      <c r="O132" s="7">
        <f t="shared" si="16"/>
        <v>0</v>
      </c>
      <c r="P132" s="7">
        <f t="shared" si="16"/>
        <v>2.2222222222222223E-2</v>
      </c>
      <c r="Q132" s="7">
        <f t="shared" si="16"/>
        <v>6.6666666666666666E-2</v>
      </c>
      <c r="R132" s="7">
        <f t="shared" si="16"/>
        <v>2.2222222222222223E-2</v>
      </c>
      <c r="S132" s="7">
        <f t="shared" si="16"/>
        <v>4.4444444444444446E-2</v>
      </c>
      <c r="T132" s="7">
        <f t="shared" si="16"/>
        <v>0</v>
      </c>
      <c r="U132" s="7">
        <f t="shared" si="16"/>
        <v>2.2222222222222223E-2</v>
      </c>
      <c r="V132" s="7">
        <f t="shared" si="16"/>
        <v>0</v>
      </c>
      <c r="W132" s="7">
        <f t="shared" si="16"/>
        <v>2.2222222222222223E-2</v>
      </c>
      <c r="X132" s="7">
        <f t="shared" si="16"/>
        <v>2.2222222222222223E-2</v>
      </c>
      <c r="Y132" s="7">
        <f t="shared" si="16"/>
        <v>2.2222222222222223E-2</v>
      </c>
    </row>
    <row r="133" spans="1:25" x14ac:dyDescent="0.25">
      <c r="A133" s="10" t="str">
        <f>'Dashboard-1-AVALIAÇÃO INST.'!$A$26</f>
        <v>0-NÃO SE APLICA</v>
      </c>
      <c r="B133" s="1"/>
      <c r="C133" s="1"/>
      <c r="F133" s="7">
        <f t="shared" ref="F133:Y133" si="17">COUNTIFS(F$77:F$125,0)/$A$136</f>
        <v>0.13333333333333333</v>
      </c>
      <c r="G133" s="7">
        <f t="shared" si="17"/>
        <v>0.35555555555555557</v>
      </c>
      <c r="H133" s="7">
        <f t="shared" si="17"/>
        <v>0.31111111111111112</v>
      </c>
      <c r="I133" s="7">
        <f t="shared" si="17"/>
        <v>6.6666666666666666E-2</v>
      </c>
      <c r="J133" s="7">
        <f t="shared" si="17"/>
        <v>6.6666666666666666E-2</v>
      </c>
      <c r="K133" s="7">
        <f t="shared" si="17"/>
        <v>6.6666666666666666E-2</v>
      </c>
      <c r="L133" s="7">
        <f t="shared" si="17"/>
        <v>2.2222222222222223E-2</v>
      </c>
      <c r="M133" s="7">
        <f t="shared" si="17"/>
        <v>0.1111111111111111</v>
      </c>
      <c r="N133" s="7">
        <f t="shared" si="17"/>
        <v>6.6666666666666666E-2</v>
      </c>
      <c r="O133" s="7">
        <f t="shared" si="17"/>
        <v>2.2222222222222223E-2</v>
      </c>
      <c r="P133" s="7">
        <f t="shared" si="17"/>
        <v>0.51111111111111107</v>
      </c>
      <c r="Q133" s="7">
        <f t="shared" si="17"/>
        <v>8.8888888888888892E-2</v>
      </c>
      <c r="R133" s="7">
        <f t="shared" si="17"/>
        <v>0.1111111111111111</v>
      </c>
      <c r="S133" s="7">
        <f t="shared" si="17"/>
        <v>0.13333333333333333</v>
      </c>
      <c r="T133" s="7">
        <f t="shared" si="17"/>
        <v>0.22222222222222221</v>
      </c>
      <c r="U133" s="7">
        <f t="shared" si="17"/>
        <v>0.26666666666666666</v>
      </c>
      <c r="V133" s="7">
        <f t="shared" si="17"/>
        <v>0.15555555555555556</v>
      </c>
      <c r="W133" s="7">
        <f t="shared" si="17"/>
        <v>0.13333333333333333</v>
      </c>
      <c r="X133" s="7">
        <f t="shared" si="17"/>
        <v>0.13333333333333333</v>
      </c>
      <c r="Y133" s="7">
        <f t="shared" si="17"/>
        <v>0.13333333333333333</v>
      </c>
    </row>
    <row r="134" spans="1:25" x14ac:dyDescent="0.25">
      <c r="B134" s="1"/>
      <c r="C134" s="1"/>
      <c r="F134" s="8" t="str">
        <f t="shared" ref="F134:Y134" si="18">IF(SUM(F128:F133)=1,"Conferido!","Erro!")</f>
        <v>Conferido!</v>
      </c>
      <c r="G134" s="8" t="str">
        <f t="shared" si="18"/>
        <v>Conferido!</v>
      </c>
      <c r="H134" s="8" t="str">
        <f t="shared" si="18"/>
        <v>Conferido!</v>
      </c>
      <c r="I134" s="8" t="str">
        <f t="shared" si="18"/>
        <v>Conferido!</v>
      </c>
      <c r="J134" s="8" t="str">
        <f t="shared" si="18"/>
        <v>Conferido!</v>
      </c>
      <c r="K134" s="8" t="str">
        <f t="shared" si="18"/>
        <v>Conferido!</v>
      </c>
      <c r="L134" s="8" t="str">
        <f t="shared" si="18"/>
        <v>Conferido!</v>
      </c>
      <c r="M134" s="8" t="str">
        <f t="shared" si="18"/>
        <v>Conferido!</v>
      </c>
      <c r="N134" s="8" t="str">
        <f t="shared" si="18"/>
        <v>Conferido!</v>
      </c>
      <c r="O134" s="8" t="str">
        <f t="shared" si="18"/>
        <v>Conferido!</v>
      </c>
      <c r="P134" s="8" t="str">
        <f t="shared" si="18"/>
        <v>Conferido!</v>
      </c>
      <c r="Q134" s="8" t="str">
        <f t="shared" si="18"/>
        <v>Conferido!</v>
      </c>
      <c r="R134" s="8" t="str">
        <f t="shared" si="18"/>
        <v>Conferido!</v>
      </c>
      <c r="S134" s="8" t="str">
        <f t="shared" si="18"/>
        <v>Conferido!</v>
      </c>
      <c r="T134" s="8" t="str">
        <f t="shared" si="18"/>
        <v>Conferido!</v>
      </c>
      <c r="U134" s="8" t="str">
        <f t="shared" si="18"/>
        <v>Conferido!</v>
      </c>
      <c r="V134" s="8" t="str">
        <f t="shared" si="18"/>
        <v>Conferido!</v>
      </c>
      <c r="W134" s="8" t="str">
        <f t="shared" si="18"/>
        <v>Conferido!</v>
      </c>
      <c r="X134" s="8" t="str">
        <f t="shared" si="18"/>
        <v>Conferido!</v>
      </c>
      <c r="Y134" s="8" t="str">
        <f t="shared" si="18"/>
        <v>Conferido!</v>
      </c>
    </row>
    <row r="135" spans="1:25" ht="13.8" x14ac:dyDescent="0.25">
      <c r="A135" s="5" t="s">
        <v>211</v>
      </c>
      <c r="B135" s="1"/>
      <c r="C135" s="1"/>
      <c r="D135" s="91"/>
      <c r="F135" s="133" t="s">
        <v>305</v>
      </c>
      <c r="G135" s="133" t="s">
        <v>305</v>
      </c>
      <c r="H135" s="133" t="s">
        <v>305</v>
      </c>
      <c r="I135" s="133" t="s">
        <v>305</v>
      </c>
      <c r="J135" s="133" t="s">
        <v>305</v>
      </c>
      <c r="K135" s="133" t="s">
        <v>305</v>
      </c>
      <c r="L135" s="133" t="s">
        <v>305</v>
      </c>
      <c r="M135" s="133" t="s">
        <v>305</v>
      </c>
      <c r="N135" s="133" t="s">
        <v>305</v>
      </c>
      <c r="O135" s="133" t="s">
        <v>305</v>
      </c>
      <c r="P135" s="133" t="s">
        <v>305</v>
      </c>
      <c r="Q135" s="133" t="s">
        <v>305</v>
      </c>
      <c r="R135" s="133" t="s">
        <v>305</v>
      </c>
      <c r="S135" s="133" t="s">
        <v>305</v>
      </c>
      <c r="T135" s="133" t="s">
        <v>305</v>
      </c>
      <c r="U135" s="133" t="s">
        <v>305</v>
      </c>
      <c r="V135" s="133" t="s">
        <v>305</v>
      </c>
      <c r="W135" s="133" t="s">
        <v>305</v>
      </c>
      <c r="X135" s="133" t="s">
        <v>305</v>
      </c>
      <c r="Y135" s="133" t="s">
        <v>305</v>
      </c>
    </row>
    <row r="136" spans="1:25" ht="15.6" x14ac:dyDescent="0.3">
      <c r="A136" s="6">
        <f>COUNT(F77:F123)</f>
        <v>45</v>
      </c>
      <c r="E136" s="109" t="str">
        <f>'Dashboard-1-AVALIAÇÃO INST.'!$A$29</f>
        <v>MUITO BOM / ÓTIMO</v>
      </c>
      <c r="F136" s="169">
        <f>F128+F129</f>
        <v>0.6</v>
      </c>
      <c r="G136" s="170">
        <f t="shared" ref="G136:Y136" si="19">G128+G129</f>
        <v>0.53333333333333333</v>
      </c>
      <c r="H136" s="170">
        <f t="shared" si="19"/>
        <v>0.42222222222222222</v>
      </c>
      <c r="I136" s="170">
        <f t="shared" si="19"/>
        <v>0.88888888888888884</v>
      </c>
      <c r="J136" s="170">
        <f t="shared" si="19"/>
        <v>0.68888888888888888</v>
      </c>
      <c r="K136" s="170">
        <f t="shared" si="19"/>
        <v>0.77777777777777779</v>
      </c>
      <c r="L136" s="170">
        <f t="shared" si="19"/>
        <v>0.95555555555555549</v>
      </c>
      <c r="M136" s="170">
        <f t="shared" si="19"/>
        <v>0.77777777777777768</v>
      </c>
      <c r="N136" s="170">
        <f t="shared" si="19"/>
        <v>0.84444444444444444</v>
      </c>
      <c r="O136" s="170">
        <f t="shared" si="19"/>
        <v>0.91111111111111109</v>
      </c>
      <c r="P136" s="170">
        <f t="shared" si="19"/>
        <v>0.24444444444444446</v>
      </c>
      <c r="Q136" s="170">
        <f t="shared" si="19"/>
        <v>0.75555555555555554</v>
      </c>
      <c r="R136" s="170">
        <f t="shared" si="19"/>
        <v>0.73333333333333328</v>
      </c>
      <c r="S136" s="170">
        <f t="shared" si="19"/>
        <v>0.6</v>
      </c>
      <c r="T136" s="170">
        <f t="shared" si="19"/>
        <v>0.55555555555555558</v>
      </c>
      <c r="U136" s="170">
        <f t="shared" si="19"/>
        <v>0.6</v>
      </c>
      <c r="V136" s="170">
        <f t="shared" si="19"/>
        <v>0.62222222222222223</v>
      </c>
      <c r="W136" s="170">
        <f t="shared" si="19"/>
        <v>0.66666666666666663</v>
      </c>
      <c r="X136" s="170">
        <f t="shared" si="19"/>
        <v>0.48888888888888887</v>
      </c>
      <c r="Y136" s="166">
        <f t="shared" si="19"/>
        <v>0.64444444444444438</v>
      </c>
    </row>
    <row r="137" spans="1:25" ht="15.6" x14ac:dyDescent="0.3">
      <c r="E137" s="110" t="str">
        <f>'Dashboard-1-AVALIAÇÃO INST.'!$A$30</f>
        <v>BOM</v>
      </c>
      <c r="F137" s="171">
        <f>F130</f>
        <v>0.13333333333333333</v>
      </c>
      <c r="G137" s="168">
        <f t="shared" ref="G137:Y137" si="20">G130</f>
        <v>8.8888888888888892E-2</v>
      </c>
      <c r="H137" s="168">
        <f t="shared" si="20"/>
        <v>0.13333333333333333</v>
      </c>
      <c r="I137" s="168">
        <f t="shared" si="20"/>
        <v>2.2222222222222223E-2</v>
      </c>
      <c r="J137" s="168">
        <f t="shared" si="20"/>
        <v>0.15555555555555556</v>
      </c>
      <c r="K137" s="168">
        <f t="shared" si="20"/>
        <v>0.1111111111111111</v>
      </c>
      <c r="L137" s="168">
        <f t="shared" si="20"/>
        <v>2.2222222222222223E-2</v>
      </c>
      <c r="M137" s="168">
        <f t="shared" si="20"/>
        <v>8.8888888888888892E-2</v>
      </c>
      <c r="N137" s="168">
        <f t="shared" si="20"/>
        <v>8.8888888888888892E-2</v>
      </c>
      <c r="O137" s="168">
        <f t="shared" si="20"/>
        <v>6.6666666666666666E-2</v>
      </c>
      <c r="P137" s="168">
        <f t="shared" si="20"/>
        <v>8.8888888888888892E-2</v>
      </c>
      <c r="Q137" s="168">
        <f t="shared" si="20"/>
        <v>4.4444444444444446E-2</v>
      </c>
      <c r="R137" s="168">
        <f t="shared" si="20"/>
        <v>0.1111111111111111</v>
      </c>
      <c r="S137" s="168">
        <f t="shared" si="20"/>
        <v>0.1111111111111111</v>
      </c>
      <c r="T137" s="168">
        <f t="shared" si="20"/>
        <v>0.15555555555555556</v>
      </c>
      <c r="U137" s="168">
        <f t="shared" si="20"/>
        <v>6.6666666666666666E-2</v>
      </c>
      <c r="V137" s="168">
        <f t="shared" si="20"/>
        <v>0.2</v>
      </c>
      <c r="W137" s="168">
        <f t="shared" si="20"/>
        <v>0.13333333333333333</v>
      </c>
      <c r="X137" s="168">
        <f t="shared" si="20"/>
        <v>0.17777777777777778</v>
      </c>
      <c r="Y137" s="167">
        <f t="shared" si="20"/>
        <v>0.13333333333333333</v>
      </c>
    </row>
    <row r="138" spans="1:25" ht="17.399999999999999" x14ac:dyDescent="0.3">
      <c r="A138" s="84">
        <f>A71+A136</f>
        <v>103</v>
      </c>
      <c r="E138" s="110" t="str">
        <f>'Dashboard-1-AVALIAÇÃO INST.'!$A$31</f>
        <v>RUIM / REGULAR</v>
      </c>
      <c r="F138" s="171">
        <f>F131+F132</f>
        <v>0.13333333333333333</v>
      </c>
      <c r="G138" s="168">
        <f t="shared" ref="G138:Y138" si="21">G131+G132</f>
        <v>2.2222222222222223E-2</v>
      </c>
      <c r="H138" s="168">
        <f t="shared" si="21"/>
        <v>0.13333333333333333</v>
      </c>
      <c r="I138" s="168">
        <f t="shared" si="21"/>
        <v>2.2222222222222223E-2</v>
      </c>
      <c r="J138" s="168">
        <f t="shared" si="21"/>
        <v>8.8888888888888892E-2</v>
      </c>
      <c r="K138" s="168">
        <f t="shared" si="21"/>
        <v>4.4444444444444446E-2</v>
      </c>
      <c r="L138" s="168">
        <f t="shared" si="21"/>
        <v>0</v>
      </c>
      <c r="M138" s="168">
        <f t="shared" si="21"/>
        <v>2.2222222222222223E-2</v>
      </c>
      <c r="N138" s="168">
        <f t="shared" si="21"/>
        <v>0</v>
      </c>
      <c r="O138" s="168">
        <f t="shared" si="21"/>
        <v>0</v>
      </c>
      <c r="P138" s="168">
        <f t="shared" si="21"/>
        <v>0.15555555555555556</v>
      </c>
      <c r="Q138" s="168">
        <f t="shared" si="21"/>
        <v>0.1111111111111111</v>
      </c>
      <c r="R138" s="168">
        <f t="shared" si="21"/>
        <v>4.4444444444444446E-2</v>
      </c>
      <c r="S138" s="168">
        <f t="shared" si="21"/>
        <v>0.15555555555555556</v>
      </c>
      <c r="T138" s="168">
        <f t="shared" si="21"/>
        <v>6.6666666666666666E-2</v>
      </c>
      <c r="U138" s="168">
        <f t="shared" si="21"/>
        <v>6.6666666666666666E-2</v>
      </c>
      <c r="V138" s="168">
        <f t="shared" si="21"/>
        <v>2.2222222222222223E-2</v>
      </c>
      <c r="W138" s="168">
        <f t="shared" si="21"/>
        <v>6.6666666666666666E-2</v>
      </c>
      <c r="X138" s="168">
        <f t="shared" si="21"/>
        <v>0.2</v>
      </c>
      <c r="Y138" s="167">
        <f t="shared" si="21"/>
        <v>8.8888888888888892E-2</v>
      </c>
    </row>
    <row r="139" spans="1:25" ht="15.6" x14ac:dyDescent="0.3">
      <c r="E139" s="111" t="str">
        <f>'Dashboard-1-AVALIAÇÃO INST.'!$A$32</f>
        <v>NÃO SE APLICA / NÃO SEI</v>
      </c>
      <c r="F139" s="172">
        <f>F133</f>
        <v>0.13333333333333333</v>
      </c>
      <c r="G139" s="173">
        <f t="shared" ref="G139:Y139" si="22">G133</f>
        <v>0.35555555555555557</v>
      </c>
      <c r="H139" s="173">
        <f t="shared" si="22"/>
        <v>0.31111111111111112</v>
      </c>
      <c r="I139" s="173">
        <f t="shared" si="22"/>
        <v>6.6666666666666666E-2</v>
      </c>
      <c r="J139" s="173">
        <f t="shared" si="22"/>
        <v>6.6666666666666666E-2</v>
      </c>
      <c r="K139" s="173">
        <f t="shared" si="22"/>
        <v>6.6666666666666666E-2</v>
      </c>
      <c r="L139" s="173">
        <f t="shared" si="22"/>
        <v>2.2222222222222223E-2</v>
      </c>
      <c r="M139" s="173">
        <f t="shared" si="22"/>
        <v>0.1111111111111111</v>
      </c>
      <c r="N139" s="173">
        <f t="shared" si="22"/>
        <v>6.6666666666666666E-2</v>
      </c>
      <c r="O139" s="173">
        <f t="shared" si="22"/>
        <v>2.2222222222222223E-2</v>
      </c>
      <c r="P139" s="173">
        <f t="shared" si="22"/>
        <v>0.51111111111111107</v>
      </c>
      <c r="Q139" s="173">
        <f t="shared" si="22"/>
        <v>8.8888888888888892E-2</v>
      </c>
      <c r="R139" s="173">
        <f t="shared" si="22"/>
        <v>0.1111111111111111</v>
      </c>
      <c r="S139" s="173">
        <f t="shared" si="22"/>
        <v>0.13333333333333333</v>
      </c>
      <c r="T139" s="173">
        <f t="shared" si="22"/>
        <v>0.22222222222222221</v>
      </c>
      <c r="U139" s="173">
        <f t="shared" si="22"/>
        <v>0.26666666666666666</v>
      </c>
      <c r="V139" s="173">
        <f t="shared" si="22"/>
        <v>0.15555555555555556</v>
      </c>
      <c r="W139" s="173">
        <f t="shared" si="22"/>
        <v>0.13333333333333333</v>
      </c>
      <c r="X139" s="173">
        <f t="shared" si="22"/>
        <v>0.13333333333333333</v>
      </c>
      <c r="Y139" s="174">
        <f t="shared" si="22"/>
        <v>0.13333333333333333</v>
      </c>
    </row>
    <row r="140" spans="1:25" x14ac:dyDescent="0.25">
      <c r="E140" s="91"/>
      <c r="F140" s="165">
        <f>SUM(F136:F139)</f>
        <v>0.99999999999999989</v>
      </c>
      <c r="G140" s="165">
        <f t="shared" ref="G140" si="23">SUM(G136:G139)</f>
        <v>1</v>
      </c>
      <c r="H140" s="165">
        <f t="shared" ref="H140" si="24">SUM(H136:H139)</f>
        <v>1</v>
      </c>
      <c r="I140" s="165">
        <f t="shared" ref="I140" si="25">SUM(I136:I139)</f>
        <v>1</v>
      </c>
      <c r="J140" s="165">
        <f t="shared" ref="J140" si="26">SUM(J136:J139)</f>
        <v>1</v>
      </c>
      <c r="K140" s="165">
        <f t="shared" ref="K140" si="27">SUM(K136:K139)</f>
        <v>0.99999999999999989</v>
      </c>
      <c r="L140" s="165">
        <f t="shared" ref="L140" si="28">SUM(L136:L139)</f>
        <v>1</v>
      </c>
      <c r="M140" s="165">
        <f t="shared" ref="M140" si="29">SUM(M136:M139)</f>
        <v>1</v>
      </c>
      <c r="N140" s="165">
        <f t="shared" ref="N140" si="30">SUM(N136:N139)</f>
        <v>1</v>
      </c>
      <c r="O140" s="165">
        <f t="shared" ref="O140" si="31">SUM(O136:O139)</f>
        <v>1</v>
      </c>
      <c r="P140" s="165">
        <f t="shared" ref="P140" si="32">SUM(P136:P139)</f>
        <v>1</v>
      </c>
      <c r="Q140" s="165">
        <f t="shared" ref="Q140" si="33">SUM(Q136:Q139)</f>
        <v>0.99999999999999989</v>
      </c>
      <c r="R140" s="165">
        <f t="shared" ref="R140" si="34">SUM(R136:R139)</f>
        <v>0.99999999999999978</v>
      </c>
      <c r="S140" s="165">
        <f t="shared" ref="S140" si="35">SUM(S136:S139)</f>
        <v>0.99999999999999989</v>
      </c>
      <c r="T140" s="165">
        <f t="shared" ref="T140" si="36">SUM(T136:T139)</f>
        <v>1</v>
      </c>
      <c r="U140" s="165">
        <f t="shared" ref="U140" si="37">SUM(U136:U139)</f>
        <v>1</v>
      </c>
      <c r="V140" s="165">
        <f t="shared" ref="V140" si="38">SUM(V136:V139)</f>
        <v>1</v>
      </c>
      <c r="W140" s="165">
        <f t="shared" ref="W140" si="39">SUM(W136:W139)</f>
        <v>0.99999999999999989</v>
      </c>
      <c r="X140" s="165">
        <f t="shared" ref="X140" si="40">SUM(X136:X139)</f>
        <v>1</v>
      </c>
      <c r="Y140" s="165">
        <f t="shared" ref="Y140" si="41">SUM(Y136:Y139)</f>
        <v>0.99999999999999989</v>
      </c>
    </row>
  </sheetData>
  <sheetProtection algorithmName="SHA-512" hashValue="0Ej5s+AcKU/0JJ2e/CASX+20wxSTh/gjkXWGCN/VPNikeAuywezBcmWgxDAZXAnNrTG78mekiZ5r3TF4xqCLxA==" saltValue="uUI+QdzV+u9c6vA+JaLBpw==" spinCount="100000" sheet="1" formatColumns="0"/>
  <phoneticPr fontId="16" type="noConversion"/>
  <conditionalFormatting sqref="F63:Y68">
    <cfRule type="colorScale" priority="10">
      <colorScale>
        <cfvo type="min"/>
        <cfvo type="percentile" val="50"/>
        <cfvo type="max"/>
        <color rgb="FF5A8AC6"/>
        <color rgb="FFFCFCFF"/>
        <color rgb="FFF8696B"/>
      </colorScale>
    </cfRule>
    <cfRule type="colorScale" priority="14">
      <colorScale>
        <cfvo type="min"/>
        <cfvo type="max"/>
        <color rgb="FFFCFCFF"/>
        <color rgb="FF63BE7B"/>
      </colorScale>
    </cfRule>
  </conditionalFormatting>
  <conditionalFormatting sqref="F69:Y69">
    <cfRule type="iconSet" priority="19">
      <iconSet iconSet="3Flags">
        <cfvo type="percent" val="0"/>
        <cfvo type="percent" val="33"/>
        <cfvo type="percent" val="67"/>
      </iconSet>
    </cfRule>
    <cfRule type="containsText" dxfId="36" priority="20" operator="containsText" text="Conferido!">
      <formula>NOT(ISERROR(SEARCH("Conferido!",F69)))</formula>
    </cfRule>
  </conditionalFormatting>
  <conditionalFormatting sqref="F71:Y73">
    <cfRule type="colorScale" priority="7">
      <colorScale>
        <cfvo type="min"/>
        <cfvo type="percentile" val="50"/>
        <cfvo type="max"/>
        <color rgb="FF63BE7B"/>
        <color rgb="FFFFEB84"/>
        <color rgb="FFF8696B"/>
      </colorScale>
    </cfRule>
  </conditionalFormatting>
  <conditionalFormatting sqref="F71:Y74">
    <cfRule type="colorScale" priority="5">
      <colorScale>
        <cfvo type="min"/>
        <cfvo type="percentile" val="50"/>
        <cfvo type="max"/>
        <color rgb="FF5A8AC6"/>
        <color rgb="FFFCFCFF"/>
        <color rgb="FFF8696B"/>
      </colorScale>
    </cfRule>
  </conditionalFormatting>
  <conditionalFormatting sqref="F128:Y133">
    <cfRule type="colorScale" priority="9">
      <colorScale>
        <cfvo type="min"/>
        <cfvo type="percentile" val="50"/>
        <cfvo type="max"/>
        <color rgb="FF5A8AC6"/>
        <color rgb="FFFCFCFF"/>
        <color rgb="FFF8696B"/>
      </colorScale>
    </cfRule>
    <cfRule type="colorScale" priority="11">
      <colorScale>
        <cfvo type="min"/>
        <cfvo type="max"/>
        <color rgb="FFFCFCFF"/>
        <color rgb="FF63BE7B"/>
      </colorScale>
    </cfRule>
  </conditionalFormatting>
  <conditionalFormatting sqref="F134:Y134">
    <cfRule type="iconSet" priority="12">
      <iconSet iconSet="3Flags">
        <cfvo type="percent" val="0"/>
        <cfvo type="percent" val="33"/>
        <cfvo type="percent" val="67"/>
      </iconSet>
    </cfRule>
    <cfRule type="containsText" dxfId="35" priority="13" operator="containsText" text="Conferido!">
      <formula>NOT(ISERROR(SEARCH("Conferido!",F134)))</formula>
    </cfRule>
  </conditionalFormatting>
  <conditionalFormatting sqref="F136:Y138">
    <cfRule type="colorScale" priority="2">
      <colorScale>
        <cfvo type="min"/>
        <cfvo type="percentile" val="50"/>
        <cfvo type="max"/>
        <color rgb="FF63BE7B"/>
        <color rgb="FFFFEB84"/>
        <color rgb="FFF8696B"/>
      </colorScale>
    </cfRule>
  </conditionalFormatting>
  <conditionalFormatting sqref="F136:Y139">
    <cfRule type="colorScale" priority="1">
      <colorScale>
        <cfvo type="min"/>
        <cfvo type="percentile" val="50"/>
        <cfvo type="max"/>
        <color rgb="FF5A8AC6"/>
        <color rgb="FFFCFCFF"/>
        <color rgb="FFF8696B"/>
      </colorScale>
    </cfRule>
  </conditionalFormatting>
  <pageMargins left="0.511811024" right="0.511811024" top="0.78740157499999996" bottom="0.78740157499999996" header="0.31496062000000002" footer="0.3149606200000000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323EE-CDE7-4232-9BB6-B6A7404DA166}">
  <sheetPr codeName="Planilha6"/>
  <dimension ref="A1:Y103"/>
  <sheetViews>
    <sheetView zoomScale="60" zoomScaleNormal="60" workbookViewId="0">
      <pane ySplit="1" topLeftCell="A42" activePane="bottomLeft" state="frozen"/>
      <selection activeCell="AN69" sqref="AN69"/>
      <selection pane="bottomLeft" activeCell="V98" sqref="V98"/>
    </sheetView>
  </sheetViews>
  <sheetFormatPr defaultColWidth="8.77734375" defaultRowHeight="13.2" x14ac:dyDescent="0.25"/>
  <cols>
    <col min="1" max="1" width="33.44140625" customWidth="1"/>
    <col min="2" max="2" width="34.77734375" customWidth="1"/>
    <col min="6" max="6" width="9.44140625" customWidth="1"/>
    <col min="8" max="8" width="0" hidden="1" customWidth="1"/>
    <col min="10" max="10" width="9.44140625" customWidth="1"/>
    <col min="11" max="11" width="9.77734375" customWidth="1"/>
    <col min="12" max="12" width="10.21875" customWidth="1"/>
    <col min="13" max="17" width="0" hidden="1" customWidth="1"/>
  </cols>
  <sheetData>
    <row r="1" spans="1:17" x14ac:dyDescent="0.25">
      <c r="A1" s="1" t="s">
        <v>0</v>
      </c>
      <c r="B1" s="4" t="s">
        <v>58</v>
      </c>
      <c r="C1" s="41" t="s">
        <v>59</v>
      </c>
      <c r="D1" s="47" t="s">
        <v>60</v>
      </c>
      <c r="E1" s="47" t="s">
        <v>61</v>
      </c>
      <c r="F1" s="47" t="s">
        <v>62</v>
      </c>
      <c r="G1" s="47" t="s">
        <v>63</v>
      </c>
      <c r="H1" s="1" t="s">
        <v>64</v>
      </c>
      <c r="I1" s="41" t="s">
        <v>65</v>
      </c>
      <c r="J1" s="41" t="s">
        <v>66</v>
      </c>
      <c r="K1" s="41" t="s">
        <v>67</v>
      </c>
      <c r="L1" s="41" t="s">
        <v>68</v>
      </c>
      <c r="M1" s="1" t="s">
        <v>69</v>
      </c>
      <c r="N1" s="1" t="s">
        <v>70</v>
      </c>
      <c r="O1" s="1" t="s">
        <v>71</v>
      </c>
      <c r="P1" s="1" t="s">
        <v>72</v>
      </c>
      <c r="Q1" s="1" t="s">
        <v>73</v>
      </c>
    </row>
    <row r="2" spans="1:17" ht="15.75" customHeight="1" x14ac:dyDescent="0.25">
      <c r="A2" s="2">
        <v>44176.53568134259</v>
      </c>
      <c r="B2" s="1" t="s">
        <v>74</v>
      </c>
      <c r="C2" s="1">
        <v>5</v>
      </c>
      <c r="D2" s="1">
        <v>5</v>
      </c>
      <c r="E2" s="1">
        <v>5</v>
      </c>
      <c r="F2" s="1">
        <v>5</v>
      </c>
      <c r="G2" s="1">
        <v>5</v>
      </c>
      <c r="I2" s="1">
        <v>5</v>
      </c>
      <c r="J2" s="1">
        <v>5</v>
      </c>
      <c r="K2" s="1">
        <v>5</v>
      </c>
      <c r="L2" s="1">
        <v>5</v>
      </c>
      <c r="M2" s="1" t="s">
        <v>75</v>
      </c>
      <c r="N2" s="1" t="s">
        <v>76</v>
      </c>
      <c r="O2" s="1" t="s">
        <v>77</v>
      </c>
      <c r="P2" s="1" t="s">
        <v>78</v>
      </c>
      <c r="Q2" s="1" t="s">
        <v>79</v>
      </c>
    </row>
    <row r="3" spans="1:17" ht="15.75" customHeight="1" x14ac:dyDescent="0.25">
      <c r="A3" s="2">
        <v>44176.538580671295</v>
      </c>
      <c r="B3" s="1" t="s">
        <v>30</v>
      </c>
      <c r="C3" s="1">
        <v>4</v>
      </c>
      <c r="D3" s="1">
        <v>5</v>
      </c>
      <c r="E3" s="1">
        <v>3</v>
      </c>
      <c r="F3" s="1">
        <v>3</v>
      </c>
      <c r="G3" s="1">
        <v>3</v>
      </c>
      <c r="I3" s="1">
        <v>5</v>
      </c>
      <c r="J3" s="1">
        <v>4</v>
      </c>
      <c r="K3" s="1">
        <v>3</v>
      </c>
      <c r="L3" s="1">
        <v>3</v>
      </c>
      <c r="M3" s="1" t="s">
        <v>80</v>
      </c>
      <c r="N3" s="1" t="s">
        <v>79</v>
      </c>
      <c r="Q3" s="1" t="s">
        <v>79</v>
      </c>
    </row>
    <row r="4" spans="1:17" ht="15.75" customHeight="1" x14ac:dyDescent="0.25">
      <c r="A4" s="2">
        <v>44176.562858923615</v>
      </c>
      <c r="B4" s="1" t="s">
        <v>30</v>
      </c>
      <c r="C4" s="1">
        <v>3</v>
      </c>
      <c r="D4" s="1">
        <v>3</v>
      </c>
      <c r="E4" s="1">
        <v>3</v>
      </c>
      <c r="F4" s="1">
        <v>3</v>
      </c>
      <c r="G4" s="1">
        <v>4</v>
      </c>
      <c r="I4" s="1">
        <v>4</v>
      </c>
      <c r="J4" s="1">
        <v>4</v>
      </c>
      <c r="K4" s="1">
        <v>4</v>
      </c>
      <c r="L4" s="1">
        <v>2</v>
      </c>
      <c r="M4" s="1" t="s">
        <v>81</v>
      </c>
      <c r="N4" s="1" t="s">
        <v>79</v>
      </c>
      <c r="Q4" s="1" t="s">
        <v>79</v>
      </c>
    </row>
    <row r="5" spans="1:17" ht="15.75" customHeight="1" x14ac:dyDescent="0.25">
      <c r="A5" s="2">
        <v>44176.565211064815</v>
      </c>
      <c r="B5" s="1" t="s">
        <v>30</v>
      </c>
      <c r="C5" s="1">
        <v>3</v>
      </c>
      <c r="D5" s="1">
        <v>2</v>
      </c>
      <c r="E5" s="1">
        <v>3</v>
      </c>
      <c r="F5" s="1">
        <v>0</v>
      </c>
      <c r="G5" s="1">
        <v>2</v>
      </c>
      <c r="I5" s="1">
        <v>4</v>
      </c>
      <c r="J5" s="1">
        <v>5</v>
      </c>
      <c r="K5" s="1">
        <v>5</v>
      </c>
      <c r="L5" s="1">
        <v>2</v>
      </c>
      <c r="M5" s="1" t="s">
        <v>82</v>
      </c>
      <c r="N5" s="1" t="s">
        <v>79</v>
      </c>
      <c r="Q5" s="1" t="s">
        <v>79</v>
      </c>
    </row>
    <row r="6" spans="1:17" ht="15.75" customHeight="1" x14ac:dyDescent="0.25">
      <c r="A6" s="2">
        <v>44176.569028275466</v>
      </c>
      <c r="B6" s="1" t="s">
        <v>74</v>
      </c>
      <c r="C6" s="1">
        <v>5</v>
      </c>
      <c r="D6" s="1">
        <v>5</v>
      </c>
      <c r="E6" s="1">
        <v>5</v>
      </c>
      <c r="F6" s="1">
        <v>0</v>
      </c>
      <c r="G6" s="1">
        <v>5</v>
      </c>
      <c r="I6" s="1">
        <v>5</v>
      </c>
      <c r="J6" s="1">
        <v>5</v>
      </c>
      <c r="K6" s="1">
        <v>5</v>
      </c>
      <c r="L6" s="1">
        <v>5</v>
      </c>
      <c r="M6" s="1" t="s">
        <v>83</v>
      </c>
      <c r="N6" s="1" t="s">
        <v>79</v>
      </c>
      <c r="P6" s="1" t="s">
        <v>84</v>
      </c>
      <c r="Q6" s="1" t="s">
        <v>79</v>
      </c>
    </row>
    <row r="7" spans="1:17" ht="15.75" customHeight="1" x14ac:dyDescent="0.25">
      <c r="A7" s="2">
        <v>44176.581612708338</v>
      </c>
      <c r="B7" s="1" t="s">
        <v>74</v>
      </c>
      <c r="C7" s="1">
        <v>5</v>
      </c>
      <c r="D7" s="1">
        <v>4</v>
      </c>
      <c r="E7" s="1">
        <v>4</v>
      </c>
      <c r="F7" s="1">
        <v>3</v>
      </c>
      <c r="G7" s="1">
        <v>3</v>
      </c>
      <c r="I7" s="1">
        <v>5</v>
      </c>
      <c r="J7" s="1">
        <v>5</v>
      </c>
      <c r="K7" s="1">
        <v>5</v>
      </c>
      <c r="L7" s="1">
        <v>5</v>
      </c>
      <c r="M7" s="1" t="s">
        <v>85</v>
      </c>
      <c r="N7" s="1" t="s">
        <v>86</v>
      </c>
      <c r="Q7" s="1" t="s">
        <v>79</v>
      </c>
    </row>
    <row r="8" spans="1:17" ht="15.75" customHeight="1" x14ac:dyDescent="0.25">
      <c r="A8" s="2">
        <v>44176.582492361107</v>
      </c>
      <c r="B8" s="1" t="s">
        <v>74</v>
      </c>
      <c r="C8" s="1">
        <v>5</v>
      </c>
      <c r="D8" s="1">
        <v>5</v>
      </c>
      <c r="E8" s="1">
        <v>5</v>
      </c>
      <c r="F8" s="1">
        <v>0</v>
      </c>
      <c r="G8" s="1">
        <v>5</v>
      </c>
      <c r="I8" s="1">
        <v>5</v>
      </c>
      <c r="J8" s="1">
        <v>5</v>
      </c>
      <c r="K8" s="1">
        <v>3</v>
      </c>
      <c r="L8" s="1">
        <v>4</v>
      </c>
      <c r="M8" s="1" t="s">
        <v>80</v>
      </c>
      <c r="N8" s="1" t="s">
        <v>86</v>
      </c>
      <c r="Q8" s="1" t="s">
        <v>79</v>
      </c>
    </row>
    <row r="9" spans="1:17" ht="15.75" customHeight="1" x14ac:dyDescent="0.25">
      <c r="A9" s="2">
        <v>44176.593515451386</v>
      </c>
      <c r="B9" s="1" t="s">
        <v>74</v>
      </c>
      <c r="C9" s="1">
        <v>5</v>
      </c>
      <c r="D9" s="1">
        <v>3</v>
      </c>
      <c r="E9" s="1">
        <v>5</v>
      </c>
      <c r="F9" s="1">
        <v>1</v>
      </c>
      <c r="G9" s="1">
        <v>3</v>
      </c>
      <c r="I9" s="1">
        <v>5</v>
      </c>
      <c r="J9" s="1">
        <v>5</v>
      </c>
      <c r="K9" s="1">
        <v>1</v>
      </c>
      <c r="L9" s="1">
        <v>3</v>
      </c>
      <c r="M9" s="1" t="s">
        <v>87</v>
      </c>
      <c r="N9" s="1" t="s">
        <v>86</v>
      </c>
      <c r="Q9" s="1" t="s">
        <v>79</v>
      </c>
    </row>
    <row r="10" spans="1:17" ht="15.75" customHeight="1" x14ac:dyDescent="0.25">
      <c r="A10" s="2">
        <v>44176.612076122685</v>
      </c>
      <c r="B10" s="1" t="s">
        <v>74</v>
      </c>
      <c r="C10" s="1">
        <v>5</v>
      </c>
      <c r="D10" s="1">
        <v>5</v>
      </c>
      <c r="E10" s="1">
        <v>5</v>
      </c>
      <c r="F10" s="1">
        <v>5</v>
      </c>
      <c r="G10" s="1">
        <v>5</v>
      </c>
      <c r="H10" s="1" t="s">
        <v>88</v>
      </c>
      <c r="I10" s="1">
        <v>5</v>
      </c>
      <c r="J10" s="1">
        <v>5</v>
      </c>
      <c r="K10" s="1">
        <v>5</v>
      </c>
      <c r="L10" s="1">
        <v>5</v>
      </c>
      <c r="M10" s="1" t="s">
        <v>75</v>
      </c>
      <c r="N10" s="1" t="s">
        <v>79</v>
      </c>
      <c r="O10" s="1" t="s">
        <v>89</v>
      </c>
      <c r="P10" s="1" t="s">
        <v>90</v>
      </c>
      <c r="Q10" s="1" t="s">
        <v>79</v>
      </c>
    </row>
    <row r="11" spans="1:17" ht="15.75" customHeight="1" x14ac:dyDescent="0.25">
      <c r="A11" s="2">
        <v>44176.646414594907</v>
      </c>
      <c r="B11" s="1" t="s">
        <v>74</v>
      </c>
      <c r="C11" s="1">
        <v>3</v>
      </c>
      <c r="D11" s="1">
        <v>4</v>
      </c>
      <c r="E11" s="1">
        <v>5</v>
      </c>
      <c r="F11" s="1">
        <v>3</v>
      </c>
      <c r="G11" s="1">
        <v>2</v>
      </c>
      <c r="I11" s="1">
        <v>5</v>
      </c>
      <c r="J11" s="1">
        <v>3</v>
      </c>
      <c r="K11" s="1">
        <v>5</v>
      </c>
      <c r="L11" s="1">
        <v>5</v>
      </c>
      <c r="M11" s="1" t="s">
        <v>75</v>
      </c>
      <c r="N11" s="1" t="s">
        <v>76</v>
      </c>
      <c r="O11" s="1" t="s">
        <v>91</v>
      </c>
      <c r="P11" s="1" t="s">
        <v>92</v>
      </c>
      <c r="Q11" s="1" t="s">
        <v>79</v>
      </c>
    </row>
    <row r="12" spans="1:17" ht="15.75" customHeight="1" x14ac:dyDescent="0.25">
      <c r="A12" s="2">
        <v>44176.652052534722</v>
      </c>
      <c r="B12" s="1" t="s">
        <v>30</v>
      </c>
      <c r="C12" s="1">
        <v>5</v>
      </c>
      <c r="D12" s="1">
        <v>5</v>
      </c>
      <c r="E12" s="1">
        <v>5</v>
      </c>
      <c r="F12" s="1">
        <v>5</v>
      </c>
      <c r="G12" s="1">
        <v>5</v>
      </c>
      <c r="I12" s="1">
        <v>0</v>
      </c>
      <c r="J12" s="1">
        <v>0</v>
      </c>
      <c r="K12" s="1">
        <v>0</v>
      </c>
      <c r="L12" s="1">
        <v>0</v>
      </c>
      <c r="M12" s="1" t="s">
        <v>80</v>
      </c>
      <c r="N12" s="1" t="s">
        <v>79</v>
      </c>
      <c r="Q12" s="1" t="s">
        <v>79</v>
      </c>
    </row>
    <row r="13" spans="1:17" ht="15.75" customHeight="1" x14ac:dyDescent="0.25">
      <c r="A13" s="2">
        <v>44176.667981284721</v>
      </c>
      <c r="B13" s="1" t="s">
        <v>30</v>
      </c>
      <c r="C13" s="1">
        <v>4</v>
      </c>
      <c r="D13" s="1">
        <v>4</v>
      </c>
      <c r="E13" s="1">
        <v>5</v>
      </c>
      <c r="F13" s="1">
        <v>2</v>
      </c>
      <c r="G13" s="1">
        <v>3</v>
      </c>
      <c r="I13" s="1">
        <v>0</v>
      </c>
      <c r="J13" s="1">
        <v>0</v>
      </c>
      <c r="K13" s="1">
        <v>0</v>
      </c>
      <c r="L13" s="1">
        <v>0</v>
      </c>
      <c r="M13" s="1" t="s">
        <v>93</v>
      </c>
      <c r="N13" s="1" t="s">
        <v>76</v>
      </c>
      <c r="Q13" s="1" t="s">
        <v>76</v>
      </c>
    </row>
    <row r="14" spans="1:17" ht="15.75" customHeight="1" x14ac:dyDescent="0.25">
      <c r="A14" s="2">
        <v>44176.668404687502</v>
      </c>
      <c r="B14" s="1" t="s">
        <v>74</v>
      </c>
      <c r="C14" s="1">
        <v>5</v>
      </c>
      <c r="D14" s="1">
        <v>5</v>
      </c>
      <c r="E14" s="1">
        <v>5</v>
      </c>
      <c r="F14" s="1">
        <v>5</v>
      </c>
      <c r="G14" s="1">
        <v>5</v>
      </c>
      <c r="I14" s="1">
        <v>5</v>
      </c>
      <c r="J14" s="1">
        <v>5</v>
      </c>
      <c r="K14" s="1">
        <v>5</v>
      </c>
      <c r="L14" s="1">
        <v>4</v>
      </c>
      <c r="M14" s="1" t="s">
        <v>80</v>
      </c>
      <c r="N14" s="1" t="s">
        <v>79</v>
      </c>
      <c r="Q14" s="1" t="s">
        <v>76</v>
      </c>
    </row>
    <row r="15" spans="1:17" ht="15.75" customHeight="1" x14ac:dyDescent="0.25">
      <c r="A15" s="2">
        <v>44176.743307627316</v>
      </c>
      <c r="B15" s="1" t="s">
        <v>74</v>
      </c>
      <c r="C15" s="1">
        <v>3</v>
      </c>
      <c r="D15" s="1">
        <v>4</v>
      </c>
      <c r="E15" s="1">
        <v>3</v>
      </c>
      <c r="F15" s="1">
        <v>2</v>
      </c>
      <c r="G15" s="1">
        <v>3</v>
      </c>
      <c r="I15" s="1">
        <v>3</v>
      </c>
      <c r="J15" s="1">
        <v>4</v>
      </c>
      <c r="K15" s="1">
        <v>3</v>
      </c>
      <c r="L15" s="1">
        <v>2</v>
      </c>
      <c r="M15" s="1" t="s">
        <v>80</v>
      </c>
      <c r="N15" s="1" t="s">
        <v>86</v>
      </c>
      <c r="Q15" s="1" t="s">
        <v>76</v>
      </c>
    </row>
    <row r="16" spans="1:17" ht="15.75" customHeight="1" x14ac:dyDescent="0.25">
      <c r="A16" s="2">
        <v>44176.766593865745</v>
      </c>
      <c r="B16" s="1" t="s">
        <v>30</v>
      </c>
      <c r="C16" s="1">
        <v>4</v>
      </c>
      <c r="D16" s="1">
        <v>5</v>
      </c>
      <c r="E16" s="1">
        <v>5</v>
      </c>
      <c r="F16" s="1">
        <v>4</v>
      </c>
      <c r="G16" s="1">
        <v>5</v>
      </c>
      <c r="I16" s="1">
        <v>0</v>
      </c>
      <c r="J16" s="1">
        <v>0</v>
      </c>
      <c r="K16" s="1">
        <v>0</v>
      </c>
      <c r="L16" s="1">
        <v>0</v>
      </c>
      <c r="M16" s="1" t="s">
        <v>80</v>
      </c>
      <c r="N16" s="1" t="s">
        <v>79</v>
      </c>
      <c r="Q16" s="1" t="s">
        <v>76</v>
      </c>
    </row>
    <row r="17" spans="1:17" ht="15.75" customHeight="1" x14ac:dyDescent="0.25">
      <c r="A17" s="2">
        <v>44176.800596666668</v>
      </c>
      <c r="B17" s="1" t="s">
        <v>30</v>
      </c>
      <c r="C17" s="1">
        <v>4</v>
      </c>
      <c r="D17" s="1">
        <v>5</v>
      </c>
      <c r="E17" s="1">
        <v>3</v>
      </c>
      <c r="F17" s="1">
        <v>0</v>
      </c>
      <c r="G17" s="1">
        <v>4</v>
      </c>
      <c r="I17" s="1">
        <v>4</v>
      </c>
      <c r="J17" s="1">
        <v>4</v>
      </c>
      <c r="K17" s="1">
        <v>4</v>
      </c>
      <c r="L17" s="1">
        <v>4</v>
      </c>
      <c r="M17" s="1" t="s">
        <v>80</v>
      </c>
      <c r="N17" s="1" t="s">
        <v>79</v>
      </c>
      <c r="Q17" s="1" t="s">
        <v>79</v>
      </c>
    </row>
    <row r="18" spans="1:17" ht="15.75" customHeight="1" x14ac:dyDescent="0.25">
      <c r="A18" s="3">
        <v>44274.592345162033</v>
      </c>
      <c r="B18" s="1" t="s">
        <v>74</v>
      </c>
      <c r="C18" s="1">
        <v>5</v>
      </c>
      <c r="D18" s="1">
        <v>5</v>
      </c>
      <c r="E18" s="1">
        <v>5</v>
      </c>
      <c r="F18" s="1">
        <v>5</v>
      </c>
      <c r="G18" s="1">
        <v>5</v>
      </c>
      <c r="I18" s="1">
        <v>5</v>
      </c>
      <c r="J18" s="1">
        <v>5</v>
      </c>
      <c r="K18" s="1">
        <v>5</v>
      </c>
      <c r="L18" s="1">
        <v>5</v>
      </c>
      <c r="M18" s="1" t="s">
        <v>85</v>
      </c>
      <c r="N18" s="1" t="s">
        <v>79</v>
      </c>
      <c r="Q18" s="1" t="s">
        <v>79</v>
      </c>
    </row>
    <row r="19" spans="1:17" ht="15.75" customHeight="1" x14ac:dyDescent="0.25">
      <c r="A19" s="2">
        <v>44176.926675798612</v>
      </c>
      <c r="B19" s="1" t="s">
        <v>74</v>
      </c>
      <c r="C19" s="1">
        <v>5</v>
      </c>
      <c r="D19" s="1">
        <v>5</v>
      </c>
      <c r="E19" s="1">
        <v>5</v>
      </c>
      <c r="F19" s="1">
        <v>5</v>
      </c>
      <c r="G19" s="1">
        <v>5</v>
      </c>
      <c r="H19" s="1" t="s">
        <v>94</v>
      </c>
      <c r="I19" s="1">
        <v>5</v>
      </c>
      <c r="J19" s="1">
        <v>5</v>
      </c>
      <c r="K19" s="1">
        <v>5</v>
      </c>
      <c r="L19" s="1">
        <v>5</v>
      </c>
      <c r="M19" s="1" t="s">
        <v>75</v>
      </c>
      <c r="N19" s="1" t="s">
        <v>79</v>
      </c>
      <c r="O19" s="1" t="s">
        <v>95</v>
      </c>
      <c r="P19" s="1" t="s">
        <v>96</v>
      </c>
      <c r="Q19" s="1" t="s">
        <v>79</v>
      </c>
    </row>
    <row r="20" spans="1:17" ht="15.75" customHeight="1" x14ac:dyDescent="0.25">
      <c r="A20" s="2">
        <v>44177.237411689814</v>
      </c>
      <c r="B20" s="1" t="s">
        <v>74</v>
      </c>
      <c r="C20" s="1">
        <v>5</v>
      </c>
      <c r="D20" s="1">
        <v>5</v>
      </c>
      <c r="E20" s="1">
        <v>5</v>
      </c>
      <c r="F20" s="1">
        <v>5</v>
      </c>
      <c r="G20" s="1">
        <v>5</v>
      </c>
      <c r="I20" s="1">
        <v>5</v>
      </c>
      <c r="J20" s="1">
        <v>5</v>
      </c>
      <c r="K20" s="1">
        <v>5</v>
      </c>
      <c r="L20" s="1">
        <v>5</v>
      </c>
      <c r="M20" s="1" t="s">
        <v>80</v>
      </c>
      <c r="N20" s="1" t="s">
        <v>76</v>
      </c>
      <c r="O20" s="1" t="s">
        <v>97</v>
      </c>
      <c r="P20" s="1" t="s">
        <v>98</v>
      </c>
      <c r="Q20" s="1" t="s">
        <v>79</v>
      </c>
    </row>
    <row r="21" spans="1:17" ht="15.75" customHeight="1" x14ac:dyDescent="0.25">
      <c r="A21" s="2">
        <v>44177.512474398143</v>
      </c>
      <c r="B21" s="1" t="s">
        <v>30</v>
      </c>
      <c r="C21" s="1">
        <v>4</v>
      </c>
      <c r="D21" s="1">
        <v>5</v>
      </c>
      <c r="E21" s="1">
        <v>5</v>
      </c>
      <c r="F21" s="1">
        <v>5</v>
      </c>
      <c r="G21" s="1">
        <v>5</v>
      </c>
      <c r="I21" s="1">
        <v>0</v>
      </c>
      <c r="J21" s="1">
        <v>0</v>
      </c>
      <c r="K21" s="1">
        <v>0</v>
      </c>
      <c r="L21" s="1">
        <v>0</v>
      </c>
      <c r="M21" s="1" t="s">
        <v>80</v>
      </c>
      <c r="N21" s="1" t="s">
        <v>79</v>
      </c>
      <c r="Q21" s="1" t="s">
        <v>76</v>
      </c>
    </row>
    <row r="22" spans="1:17" ht="15.75" customHeight="1" x14ac:dyDescent="0.25">
      <c r="A22" s="2">
        <v>44177.824981689817</v>
      </c>
      <c r="B22" s="1" t="s">
        <v>74</v>
      </c>
      <c r="C22" s="1">
        <v>1</v>
      </c>
      <c r="D22" s="1">
        <v>2</v>
      </c>
      <c r="E22" s="1">
        <v>4</v>
      </c>
      <c r="F22" s="1">
        <v>2</v>
      </c>
      <c r="G22" s="1">
        <v>3</v>
      </c>
      <c r="H22" s="1" t="s">
        <v>99</v>
      </c>
      <c r="I22" s="1">
        <v>5</v>
      </c>
      <c r="J22" s="1">
        <v>5</v>
      </c>
      <c r="K22" s="1">
        <v>5</v>
      </c>
      <c r="L22" s="1">
        <v>5</v>
      </c>
      <c r="M22" s="1" t="s">
        <v>75</v>
      </c>
      <c r="N22" s="1" t="s">
        <v>86</v>
      </c>
      <c r="Q22" s="1" t="s">
        <v>76</v>
      </c>
    </row>
    <row r="23" spans="1:17" ht="15.75" customHeight="1" x14ac:dyDescent="0.25">
      <c r="A23" s="2">
        <v>44178.382506770839</v>
      </c>
      <c r="B23" s="1" t="s">
        <v>74</v>
      </c>
      <c r="C23" s="1">
        <v>5</v>
      </c>
      <c r="D23" s="1">
        <v>4</v>
      </c>
      <c r="E23" s="1">
        <v>4</v>
      </c>
      <c r="F23" s="1">
        <v>4</v>
      </c>
      <c r="G23" s="1">
        <v>4</v>
      </c>
      <c r="H23" s="1" t="s">
        <v>100</v>
      </c>
      <c r="I23" s="1">
        <v>4</v>
      </c>
      <c r="J23" s="1">
        <v>4</v>
      </c>
      <c r="K23" s="1">
        <v>1</v>
      </c>
      <c r="L23" s="1">
        <v>4</v>
      </c>
      <c r="M23" s="1" t="s">
        <v>101</v>
      </c>
      <c r="N23" s="1" t="s">
        <v>79</v>
      </c>
      <c r="O23" s="1" t="s">
        <v>102</v>
      </c>
      <c r="P23" s="1" t="s">
        <v>103</v>
      </c>
      <c r="Q23" s="1" t="s">
        <v>79</v>
      </c>
    </row>
    <row r="24" spans="1:17" ht="15.75" customHeight="1" x14ac:dyDescent="0.25">
      <c r="A24" s="2">
        <v>44178.420799305561</v>
      </c>
      <c r="B24" s="1" t="s">
        <v>74</v>
      </c>
      <c r="C24" s="1">
        <v>5</v>
      </c>
      <c r="D24" s="1">
        <v>5</v>
      </c>
      <c r="E24" s="1">
        <v>5</v>
      </c>
      <c r="F24" s="1">
        <v>0</v>
      </c>
      <c r="G24" s="1">
        <v>5</v>
      </c>
      <c r="I24" s="1">
        <v>5</v>
      </c>
      <c r="J24" s="1">
        <v>5</v>
      </c>
      <c r="K24" s="1">
        <v>5</v>
      </c>
      <c r="L24" s="1">
        <v>5</v>
      </c>
      <c r="M24" s="1" t="s">
        <v>80</v>
      </c>
      <c r="N24" s="1" t="s">
        <v>86</v>
      </c>
      <c r="P24" s="1" t="s">
        <v>104</v>
      </c>
      <c r="Q24" s="1" t="s">
        <v>79</v>
      </c>
    </row>
    <row r="25" spans="1:17" ht="15.75" customHeight="1" x14ac:dyDescent="0.25">
      <c r="A25" s="2">
        <v>44178.619547766204</v>
      </c>
      <c r="B25" s="1" t="s">
        <v>74</v>
      </c>
      <c r="C25" s="1">
        <v>5</v>
      </c>
      <c r="D25" s="1">
        <v>0</v>
      </c>
      <c r="E25" s="1">
        <v>3</v>
      </c>
      <c r="F25" s="1">
        <v>0</v>
      </c>
      <c r="G25" s="1">
        <v>3</v>
      </c>
      <c r="H25" s="1" t="s">
        <v>105</v>
      </c>
      <c r="I25" s="1">
        <v>4</v>
      </c>
      <c r="J25" s="1">
        <v>5</v>
      </c>
      <c r="K25" s="1">
        <v>5</v>
      </c>
      <c r="L25" s="1">
        <v>5</v>
      </c>
      <c r="M25" s="1" t="s">
        <v>80</v>
      </c>
      <c r="N25" s="1" t="s">
        <v>76</v>
      </c>
      <c r="O25" s="1" t="s">
        <v>106</v>
      </c>
      <c r="Q25" s="1" t="s">
        <v>76</v>
      </c>
    </row>
    <row r="26" spans="1:17" ht="15.75" customHeight="1" x14ac:dyDescent="0.25">
      <c r="A26" s="2">
        <v>44179.305388668981</v>
      </c>
      <c r="B26" s="1" t="s">
        <v>30</v>
      </c>
      <c r="C26" s="1">
        <v>3</v>
      </c>
      <c r="D26" s="1">
        <v>4</v>
      </c>
      <c r="E26" s="1">
        <v>4</v>
      </c>
      <c r="F26" s="1">
        <v>0</v>
      </c>
      <c r="G26" s="1">
        <v>5</v>
      </c>
      <c r="I26" s="1">
        <v>5</v>
      </c>
      <c r="J26" s="1">
        <v>5</v>
      </c>
      <c r="K26" s="1">
        <v>5</v>
      </c>
      <c r="L26" s="1">
        <v>4</v>
      </c>
      <c r="M26" s="1" t="s">
        <v>80</v>
      </c>
      <c r="N26" s="1" t="s">
        <v>79</v>
      </c>
      <c r="O26" s="1" t="s">
        <v>107</v>
      </c>
      <c r="Q26" s="1" t="s">
        <v>79</v>
      </c>
    </row>
    <row r="27" spans="1:17" ht="15.75" customHeight="1" x14ac:dyDescent="0.25">
      <c r="A27" s="2">
        <v>44179.398373761578</v>
      </c>
      <c r="B27" s="1" t="s">
        <v>74</v>
      </c>
      <c r="C27" s="1">
        <v>5</v>
      </c>
      <c r="D27" s="1">
        <v>5</v>
      </c>
      <c r="E27" s="1">
        <v>5</v>
      </c>
      <c r="F27" s="1">
        <v>5</v>
      </c>
      <c r="G27" s="1">
        <v>5</v>
      </c>
      <c r="I27" s="1">
        <v>5</v>
      </c>
      <c r="J27" s="1">
        <v>5</v>
      </c>
      <c r="K27" s="1">
        <v>5</v>
      </c>
      <c r="L27" s="1">
        <v>5</v>
      </c>
      <c r="M27" s="1" t="s">
        <v>80</v>
      </c>
      <c r="N27" s="1" t="s">
        <v>76</v>
      </c>
      <c r="P27" s="1" t="s">
        <v>108</v>
      </c>
      <c r="Q27" s="1" t="s">
        <v>79</v>
      </c>
    </row>
    <row r="28" spans="1:17" ht="15.75" customHeight="1" x14ac:dyDescent="0.25">
      <c r="A28" s="2">
        <v>44179.663545682866</v>
      </c>
      <c r="B28" s="1" t="s">
        <v>74</v>
      </c>
      <c r="C28" s="1">
        <v>4</v>
      </c>
      <c r="D28" s="1">
        <v>5</v>
      </c>
      <c r="E28" s="1">
        <v>5</v>
      </c>
      <c r="F28" s="1">
        <v>0</v>
      </c>
      <c r="G28" s="1">
        <v>4</v>
      </c>
      <c r="I28" s="1">
        <v>5</v>
      </c>
      <c r="J28" s="1">
        <v>5</v>
      </c>
      <c r="K28" s="1">
        <v>5</v>
      </c>
      <c r="L28" s="1">
        <v>5</v>
      </c>
      <c r="M28" s="1" t="s">
        <v>80</v>
      </c>
      <c r="N28" s="1" t="s">
        <v>79</v>
      </c>
      <c r="O28" s="1" t="s">
        <v>109</v>
      </c>
      <c r="P28" s="1" t="s">
        <v>110</v>
      </c>
      <c r="Q28" s="1" t="s">
        <v>79</v>
      </c>
    </row>
    <row r="29" spans="1:17" ht="15.75" customHeight="1" x14ac:dyDescent="0.25">
      <c r="A29" s="2">
        <v>44180.460483217597</v>
      </c>
      <c r="B29" s="1" t="s">
        <v>74</v>
      </c>
      <c r="C29" s="1">
        <v>5</v>
      </c>
      <c r="D29" s="1">
        <v>5</v>
      </c>
      <c r="E29" s="1">
        <v>2</v>
      </c>
      <c r="F29" s="1">
        <v>5</v>
      </c>
      <c r="G29" s="1">
        <v>5</v>
      </c>
      <c r="I29" s="1">
        <v>5</v>
      </c>
      <c r="J29" s="1">
        <v>5</v>
      </c>
      <c r="K29" s="1">
        <v>5</v>
      </c>
      <c r="L29" s="1">
        <v>5</v>
      </c>
      <c r="M29" s="1" t="s">
        <v>80</v>
      </c>
      <c r="N29" s="1" t="s">
        <v>76</v>
      </c>
      <c r="Q29" s="1" t="s">
        <v>76</v>
      </c>
    </row>
    <row r="30" spans="1:17" ht="15.75" customHeight="1" x14ac:dyDescent="0.25">
      <c r="A30" s="2">
        <v>44180.508701782412</v>
      </c>
      <c r="B30" s="1" t="s">
        <v>74</v>
      </c>
      <c r="C30" s="1">
        <v>4</v>
      </c>
      <c r="D30" s="1">
        <v>5</v>
      </c>
      <c r="E30" s="1">
        <v>5</v>
      </c>
      <c r="F30" s="1">
        <v>0</v>
      </c>
      <c r="G30" s="1">
        <v>5</v>
      </c>
      <c r="I30" s="1">
        <v>5</v>
      </c>
      <c r="J30" s="1">
        <v>5</v>
      </c>
      <c r="K30" s="1">
        <v>5</v>
      </c>
      <c r="L30" s="1">
        <v>3</v>
      </c>
      <c r="M30" s="1" t="s">
        <v>111</v>
      </c>
      <c r="N30" s="1" t="s">
        <v>86</v>
      </c>
      <c r="Q30" s="1" t="s">
        <v>76</v>
      </c>
    </row>
    <row r="31" spans="1:17" ht="15.75" customHeight="1" x14ac:dyDescent="0.25">
      <c r="A31" s="2">
        <v>44180.530370624998</v>
      </c>
      <c r="B31" s="1" t="s">
        <v>74</v>
      </c>
      <c r="C31" s="1">
        <v>1</v>
      </c>
      <c r="D31" s="1">
        <v>1</v>
      </c>
      <c r="E31" s="1">
        <v>3</v>
      </c>
      <c r="F31" s="1">
        <v>1</v>
      </c>
      <c r="G31" s="1">
        <v>2</v>
      </c>
      <c r="H31" s="1" t="s">
        <v>112</v>
      </c>
      <c r="I31" s="1">
        <v>4</v>
      </c>
      <c r="J31" s="1">
        <v>4</v>
      </c>
      <c r="K31" s="1">
        <v>5</v>
      </c>
      <c r="L31" s="1">
        <v>2</v>
      </c>
      <c r="M31" s="1" t="s">
        <v>85</v>
      </c>
      <c r="N31" s="1" t="s">
        <v>86</v>
      </c>
      <c r="O31" s="1" t="s">
        <v>113</v>
      </c>
      <c r="P31" s="1" t="s">
        <v>114</v>
      </c>
      <c r="Q31" s="1" t="s">
        <v>79</v>
      </c>
    </row>
    <row r="32" spans="1:17" ht="15.75" customHeight="1" x14ac:dyDescent="0.25">
      <c r="A32" s="2">
        <v>44183.621501111113</v>
      </c>
      <c r="B32" s="1" t="s">
        <v>74</v>
      </c>
      <c r="C32" s="1">
        <v>5</v>
      </c>
      <c r="D32" s="1">
        <v>5</v>
      </c>
      <c r="E32" s="1">
        <v>5</v>
      </c>
      <c r="F32" s="1">
        <v>5</v>
      </c>
      <c r="G32" s="1">
        <v>5</v>
      </c>
      <c r="H32" s="1" t="s">
        <v>115</v>
      </c>
      <c r="I32" s="1">
        <v>5</v>
      </c>
      <c r="J32" s="1">
        <v>5</v>
      </c>
      <c r="K32" s="1">
        <v>5</v>
      </c>
      <c r="L32" s="1">
        <v>5</v>
      </c>
      <c r="M32" s="1" t="s">
        <v>116</v>
      </c>
      <c r="N32" s="1" t="s">
        <v>79</v>
      </c>
      <c r="O32" s="1" t="s">
        <v>117</v>
      </c>
      <c r="P32" s="1" t="s">
        <v>118</v>
      </c>
      <c r="Q32" s="1" t="s">
        <v>79</v>
      </c>
    </row>
    <row r="33" spans="1:25" x14ac:dyDescent="0.25">
      <c r="A33" s="2"/>
      <c r="B33" s="1"/>
      <c r="C33" s="1"/>
      <c r="D33" s="1"/>
      <c r="E33" s="1"/>
      <c r="F33" s="1"/>
      <c r="G33" s="1"/>
      <c r="H33" s="1"/>
      <c r="I33" s="1"/>
      <c r="J33" s="1"/>
      <c r="K33" s="1"/>
      <c r="L33" s="1"/>
      <c r="M33" s="1"/>
      <c r="N33" s="1"/>
      <c r="O33" s="1"/>
      <c r="P33" s="1"/>
      <c r="Q33" s="1"/>
    </row>
    <row r="34" spans="1:25" x14ac:dyDescent="0.25">
      <c r="A34" s="2"/>
      <c r="B34" s="1"/>
      <c r="C34" s="1"/>
      <c r="D34" s="1"/>
      <c r="E34" s="1"/>
      <c r="F34" s="1"/>
      <c r="G34" s="1"/>
      <c r="H34" s="1"/>
      <c r="I34" s="1"/>
      <c r="J34" s="1"/>
      <c r="K34" s="1"/>
      <c r="L34" s="1"/>
      <c r="M34" s="1"/>
      <c r="N34" s="1"/>
      <c r="O34" s="1"/>
      <c r="P34" s="1"/>
      <c r="Q34" s="1"/>
    </row>
    <row r="35" spans="1:25" x14ac:dyDescent="0.25">
      <c r="B35" s="1"/>
      <c r="C35" s="9" t="s">
        <v>216</v>
      </c>
      <c r="D35" s="9" t="s">
        <v>217</v>
      </c>
      <c r="E35" s="9" t="s">
        <v>218</v>
      </c>
      <c r="F35" s="9" t="s">
        <v>219</v>
      </c>
      <c r="G35" s="9" t="s">
        <v>220</v>
      </c>
      <c r="H35" s="1"/>
      <c r="I35" s="9" t="s">
        <v>221</v>
      </c>
      <c r="J35" s="9" t="s">
        <v>222</v>
      </c>
      <c r="K35" s="9" t="s">
        <v>223</v>
      </c>
      <c r="L35" s="9" t="s">
        <v>224</v>
      </c>
      <c r="M35" s="1"/>
      <c r="N35" s="1"/>
      <c r="O35" s="1"/>
      <c r="P35" s="1"/>
      <c r="Q35" s="1"/>
    </row>
    <row r="36" spans="1:25" x14ac:dyDescent="0.25">
      <c r="A36" s="10" t="str">
        <f>'Dashboard-1-AVALIAÇÃO INST.'!$A$21</f>
        <v>5-ÓTIMO</v>
      </c>
      <c r="B36" s="1"/>
      <c r="C36" s="7">
        <f>COUNTIFS(C$2:C$33,5)/$A$43</f>
        <v>0.54838709677419351</v>
      </c>
      <c r="D36" s="7">
        <f t="shared" ref="D36:L36" si="0">COUNTIFS(D$2:D$33,5)/$A$43</f>
        <v>0.61290322580645162</v>
      </c>
      <c r="E36" s="7">
        <f t="shared" si="0"/>
        <v>0.61290322580645162</v>
      </c>
      <c r="F36" s="7">
        <f t="shared" si="0"/>
        <v>0.35483870967741937</v>
      </c>
      <c r="G36" s="7">
        <f t="shared" si="0"/>
        <v>0.54838709677419351</v>
      </c>
      <c r="H36" s="1"/>
      <c r="I36" s="7">
        <f t="shared" si="0"/>
        <v>0.64516129032258063</v>
      </c>
      <c r="J36" s="7">
        <f t="shared" si="0"/>
        <v>0.64516129032258063</v>
      </c>
      <c r="K36" s="7">
        <f t="shared" si="0"/>
        <v>0.64516129032258063</v>
      </c>
      <c r="L36" s="7">
        <f t="shared" si="0"/>
        <v>0.4838709677419355</v>
      </c>
      <c r="M36" s="1"/>
      <c r="N36" s="1"/>
      <c r="O36" s="1"/>
      <c r="P36" s="1"/>
      <c r="Q36" s="1"/>
    </row>
    <row r="37" spans="1:25" x14ac:dyDescent="0.25">
      <c r="A37" s="10" t="str">
        <f>'Dashboard-1-AVALIAÇÃO INST.'!$A$22</f>
        <v>4-MUITO BOM</v>
      </c>
      <c r="B37" s="1"/>
      <c r="C37" s="7">
        <f>COUNTIFS(C$2:C$33,4)/$A$43</f>
        <v>0.22580645161290322</v>
      </c>
      <c r="D37" s="7">
        <f t="shared" ref="D37:L37" si="1">COUNTIFS(D$2:D$33,4)/$A$43</f>
        <v>0.19354838709677419</v>
      </c>
      <c r="E37" s="7">
        <f t="shared" si="1"/>
        <v>0.12903225806451613</v>
      </c>
      <c r="F37" s="7">
        <f t="shared" si="1"/>
        <v>6.4516129032258063E-2</v>
      </c>
      <c r="G37" s="7">
        <f t="shared" si="1"/>
        <v>0.12903225806451613</v>
      </c>
      <c r="H37" s="1"/>
      <c r="I37" s="7">
        <f t="shared" si="1"/>
        <v>0.19354838709677419</v>
      </c>
      <c r="J37" s="7">
        <f t="shared" si="1"/>
        <v>0.19354838709677419</v>
      </c>
      <c r="K37" s="7">
        <f t="shared" si="1"/>
        <v>6.4516129032258063E-2</v>
      </c>
      <c r="L37" s="7">
        <f t="shared" si="1"/>
        <v>0.16129032258064516</v>
      </c>
      <c r="M37" s="1"/>
      <c r="N37" s="1"/>
      <c r="O37" s="1"/>
      <c r="P37" s="1"/>
      <c r="Q37" s="1"/>
    </row>
    <row r="38" spans="1:25" x14ac:dyDescent="0.25">
      <c r="A38" s="10" t="str">
        <f>'Dashboard-1-AVALIAÇÃO INST.'!$A$23</f>
        <v>3-BOM</v>
      </c>
      <c r="B38" s="1"/>
      <c r="C38" s="7">
        <f>COUNTIFS(C$2:C$33,3)/$A$43</f>
        <v>0.16129032258064516</v>
      </c>
      <c r="D38" s="7">
        <f t="shared" ref="D38:L38" si="2">COUNTIFS(D$2:D$33,3)/$A$43</f>
        <v>6.4516129032258063E-2</v>
      </c>
      <c r="E38" s="7">
        <f t="shared" si="2"/>
        <v>0.22580645161290322</v>
      </c>
      <c r="F38" s="7">
        <f t="shared" si="2"/>
        <v>0.12903225806451613</v>
      </c>
      <c r="G38" s="7">
        <f t="shared" si="2"/>
        <v>0.22580645161290322</v>
      </c>
      <c r="H38" s="1"/>
      <c r="I38" s="7">
        <f t="shared" si="2"/>
        <v>3.2258064516129031E-2</v>
      </c>
      <c r="J38" s="7">
        <f t="shared" si="2"/>
        <v>3.2258064516129031E-2</v>
      </c>
      <c r="K38" s="7">
        <f t="shared" si="2"/>
        <v>9.6774193548387094E-2</v>
      </c>
      <c r="L38" s="7">
        <f t="shared" si="2"/>
        <v>9.6774193548387094E-2</v>
      </c>
      <c r="M38" s="1"/>
      <c r="N38" s="1"/>
      <c r="O38" s="1"/>
      <c r="P38" s="1"/>
      <c r="Q38" s="1"/>
    </row>
    <row r="39" spans="1:25" x14ac:dyDescent="0.25">
      <c r="A39" s="10" t="str">
        <f>'Dashboard-1-AVALIAÇÃO INST.'!$A$24</f>
        <v>2-REGULAR</v>
      </c>
      <c r="B39" s="1"/>
      <c r="C39" s="7">
        <f>COUNTIFS(C$2:C$33,2)/$A$43</f>
        <v>0</v>
      </c>
      <c r="D39" s="7">
        <f t="shared" ref="D39:L39" si="3">COUNTIFS(D$2:D$33,2)/$A$43</f>
        <v>6.4516129032258063E-2</v>
      </c>
      <c r="E39" s="7">
        <f t="shared" si="3"/>
        <v>3.2258064516129031E-2</v>
      </c>
      <c r="F39" s="7">
        <f t="shared" si="3"/>
        <v>9.6774193548387094E-2</v>
      </c>
      <c r="G39" s="7">
        <f t="shared" si="3"/>
        <v>9.6774193548387094E-2</v>
      </c>
      <c r="H39" s="1"/>
      <c r="I39" s="7">
        <f t="shared" si="3"/>
        <v>0</v>
      </c>
      <c r="J39" s="7">
        <f t="shared" si="3"/>
        <v>0</v>
      </c>
      <c r="K39" s="7">
        <f t="shared" si="3"/>
        <v>0</v>
      </c>
      <c r="L39" s="7">
        <f t="shared" si="3"/>
        <v>0.12903225806451613</v>
      </c>
      <c r="M39" s="1"/>
      <c r="N39" s="1"/>
      <c r="O39" s="1"/>
      <c r="P39" s="1"/>
      <c r="Q39" s="1"/>
    </row>
    <row r="40" spans="1:25" x14ac:dyDescent="0.25">
      <c r="A40" s="10" t="str">
        <f>'Dashboard-1-AVALIAÇÃO INST.'!$A$25</f>
        <v>1-RUIM</v>
      </c>
      <c r="B40" s="1"/>
      <c r="C40" s="7">
        <f>COUNTIFS(C$2:C$33,1)/$A$43</f>
        <v>6.4516129032258063E-2</v>
      </c>
      <c r="D40" s="7">
        <f t="shared" ref="D40:L40" si="4">COUNTIFS(D$2:D$33,1)/$A$43</f>
        <v>3.2258064516129031E-2</v>
      </c>
      <c r="E40" s="7">
        <f t="shared" si="4"/>
        <v>0</v>
      </c>
      <c r="F40" s="7">
        <f t="shared" si="4"/>
        <v>6.4516129032258063E-2</v>
      </c>
      <c r="G40" s="7">
        <f t="shared" si="4"/>
        <v>0</v>
      </c>
      <c r="H40" s="1"/>
      <c r="I40" s="7">
        <f t="shared" si="4"/>
        <v>0</v>
      </c>
      <c r="J40" s="7">
        <f t="shared" si="4"/>
        <v>0</v>
      </c>
      <c r="K40" s="7">
        <f t="shared" si="4"/>
        <v>6.4516129032258063E-2</v>
      </c>
      <c r="L40" s="7">
        <f t="shared" si="4"/>
        <v>0</v>
      </c>
      <c r="M40" s="1"/>
      <c r="N40" s="1"/>
      <c r="O40" s="1"/>
      <c r="P40" s="1"/>
      <c r="Q40" s="1"/>
    </row>
    <row r="41" spans="1:25" x14ac:dyDescent="0.25">
      <c r="A41" s="10" t="str">
        <f>'Dashboard-1-AVALIAÇÃO INST.'!$A$26</f>
        <v>0-NÃO SE APLICA</v>
      </c>
      <c r="B41" s="1"/>
      <c r="C41" s="7">
        <f>COUNTIFS(C$2:C$33,0)/$A$43</f>
        <v>0</v>
      </c>
      <c r="D41" s="7">
        <f t="shared" ref="D41:L41" si="5">COUNTIFS(D$2:D$33,0)/$A$43</f>
        <v>3.2258064516129031E-2</v>
      </c>
      <c r="E41" s="7">
        <f t="shared" si="5"/>
        <v>0</v>
      </c>
      <c r="F41" s="7">
        <f t="shared" si="5"/>
        <v>0.29032258064516131</v>
      </c>
      <c r="G41" s="7">
        <f t="shared" si="5"/>
        <v>0</v>
      </c>
      <c r="H41" s="1"/>
      <c r="I41" s="7">
        <f t="shared" si="5"/>
        <v>0.12903225806451613</v>
      </c>
      <c r="J41" s="7">
        <f t="shared" si="5"/>
        <v>0.12903225806451613</v>
      </c>
      <c r="K41" s="7">
        <f t="shared" si="5"/>
        <v>0.12903225806451613</v>
      </c>
      <c r="L41" s="7">
        <f t="shared" si="5"/>
        <v>0.12903225806451613</v>
      </c>
      <c r="M41" s="1"/>
      <c r="N41" s="1"/>
      <c r="O41" s="1"/>
      <c r="P41" s="1"/>
      <c r="Q41" s="1"/>
    </row>
    <row r="42" spans="1:25" x14ac:dyDescent="0.25">
      <c r="A42" s="5" t="s">
        <v>211</v>
      </c>
      <c r="B42" s="1"/>
      <c r="C42" s="8" t="str">
        <f>IF(SUM(C36:C41)=1,"Conferido!","Erro!")</f>
        <v>Conferido!</v>
      </c>
      <c r="D42" s="8" t="str">
        <f t="shared" ref="D42:L42" si="6">IF(SUM(D36:D41)=1,"Conferido!","Erro!")</f>
        <v>Conferido!</v>
      </c>
      <c r="E42" s="8" t="str">
        <f t="shared" si="6"/>
        <v>Conferido!</v>
      </c>
      <c r="F42" s="8" t="str">
        <f t="shared" si="6"/>
        <v>Conferido!</v>
      </c>
      <c r="G42" s="8" t="str">
        <f t="shared" si="6"/>
        <v>Conferido!</v>
      </c>
      <c r="H42" s="1"/>
      <c r="I42" s="8" t="str">
        <f t="shared" si="6"/>
        <v>Conferido!</v>
      </c>
      <c r="J42" s="8" t="str">
        <f t="shared" si="6"/>
        <v>Conferido!</v>
      </c>
      <c r="K42" s="8" t="str">
        <f t="shared" si="6"/>
        <v>Conferido!</v>
      </c>
      <c r="L42" s="8" t="str">
        <f t="shared" si="6"/>
        <v>Conferido!</v>
      </c>
      <c r="M42" s="1"/>
      <c r="N42" s="1"/>
      <c r="O42" s="1"/>
      <c r="P42" s="1"/>
      <c r="Q42" s="1"/>
    </row>
    <row r="43" spans="1:25" ht="13.8" x14ac:dyDescent="0.25">
      <c r="A43" s="6">
        <f>COUNT(C2:C33)</f>
        <v>31</v>
      </c>
      <c r="C43" s="133" t="s">
        <v>305</v>
      </c>
      <c r="D43" s="133" t="s">
        <v>305</v>
      </c>
      <c r="E43" s="133" t="s">
        <v>305</v>
      </c>
      <c r="F43" s="133" t="s">
        <v>305</v>
      </c>
      <c r="G43" s="133" t="s">
        <v>305</v>
      </c>
      <c r="H43" s="1"/>
      <c r="I43" s="133" t="s">
        <v>305</v>
      </c>
      <c r="J43" s="133" t="s">
        <v>305</v>
      </c>
      <c r="K43" s="133" t="s">
        <v>305</v>
      </c>
      <c r="L43" s="133" t="s">
        <v>305</v>
      </c>
      <c r="M43" s="1"/>
      <c r="N43" s="1"/>
      <c r="O43" s="1"/>
      <c r="P43" s="1"/>
      <c r="Q43" s="1"/>
      <c r="R43" s="1"/>
      <c r="S43" s="1"/>
      <c r="T43" s="1"/>
      <c r="U43" s="1"/>
      <c r="V43" s="1"/>
      <c r="W43" s="1"/>
      <c r="X43" s="1"/>
      <c r="Y43" s="1"/>
    </row>
    <row r="44" spans="1:25" ht="15.6" x14ac:dyDescent="0.3">
      <c r="A44" s="2"/>
      <c r="B44" s="109" t="str">
        <f>'Dashboard-1-AVALIAÇÃO INST.'!$A$29</f>
        <v>MUITO BOM / ÓTIMO</v>
      </c>
      <c r="C44" s="169">
        <f>C36+C37</f>
        <v>0.77419354838709675</v>
      </c>
      <c r="D44" s="170">
        <f t="shared" ref="D44:K44" si="7">D36+D37</f>
        <v>0.80645161290322576</v>
      </c>
      <c r="E44" s="170">
        <f t="shared" si="7"/>
        <v>0.74193548387096775</v>
      </c>
      <c r="F44" s="170">
        <f t="shared" si="7"/>
        <v>0.41935483870967744</v>
      </c>
      <c r="G44" s="170">
        <f>G36+G37</f>
        <v>0.67741935483870963</v>
      </c>
      <c r="H44" s="170">
        <f t="shared" si="7"/>
        <v>0</v>
      </c>
      <c r="I44" s="170">
        <f t="shared" si="7"/>
        <v>0.83870967741935476</v>
      </c>
      <c r="J44" s="170">
        <f t="shared" si="7"/>
        <v>0.83870967741935476</v>
      </c>
      <c r="K44" s="170">
        <f t="shared" si="7"/>
        <v>0.70967741935483875</v>
      </c>
      <c r="L44" s="166">
        <f t="shared" ref="L44" si="8">L36+L37</f>
        <v>0.64516129032258063</v>
      </c>
      <c r="M44" s="1"/>
      <c r="N44" s="1"/>
      <c r="O44" s="1"/>
      <c r="P44" s="1"/>
      <c r="Q44" s="1"/>
    </row>
    <row r="45" spans="1:25" ht="15.6" x14ac:dyDescent="0.3">
      <c r="A45" s="2"/>
      <c r="B45" s="110" t="str">
        <f>'Dashboard-1-AVALIAÇÃO INST.'!$A$30</f>
        <v>BOM</v>
      </c>
      <c r="C45" s="171">
        <f>C38</f>
        <v>0.16129032258064516</v>
      </c>
      <c r="D45" s="168">
        <f t="shared" ref="D45:K45" si="9">D38</f>
        <v>6.4516129032258063E-2</v>
      </c>
      <c r="E45" s="168">
        <f t="shared" si="9"/>
        <v>0.22580645161290322</v>
      </c>
      <c r="F45" s="168">
        <f t="shared" si="9"/>
        <v>0.12903225806451613</v>
      </c>
      <c r="G45" s="168">
        <f t="shared" si="9"/>
        <v>0.22580645161290322</v>
      </c>
      <c r="H45" s="168">
        <f t="shared" si="9"/>
        <v>0</v>
      </c>
      <c r="I45" s="168">
        <f t="shared" si="9"/>
        <v>3.2258064516129031E-2</v>
      </c>
      <c r="J45" s="168">
        <f t="shared" si="9"/>
        <v>3.2258064516129031E-2</v>
      </c>
      <c r="K45" s="168">
        <f t="shared" si="9"/>
        <v>9.6774193548387094E-2</v>
      </c>
      <c r="L45" s="167">
        <f t="shared" ref="L45" si="10">L38</f>
        <v>9.6774193548387094E-2</v>
      </c>
      <c r="M45" s="1"/>
      <c r="N45" s="1"/>
      <c r="O45" s="1"/>
      <c r="P45" s="1"/>
      <c r="Q45" s="1"/>
    </row>
    <row r="46" spans="1:25" ht="15.6" x14ac:dyDescent="0.3">
      <c r="A46" s="2"/>
      <c r="B46" s="110" t="str">
        <f>'Dashboard-1-AVALIAÇÃO INST.'!$A$31</f>
        <v>RUIM / REGULAR</v>
      </c>
      <c r="C46" s="171">
        <f>C39+C40</f>
        <v>6.4516129032258063E-2</v>
      </c>
      <c r="D46" s="168">
        <f t="shared" ref="D46:K46" si="11">D39+D40</f>
        <v>9.6774193548387094E-2</v>
      </c>
      <c r="E46" s="168">
        <f t="shared" si="11"/>
        <v>3.2258064516129031E-2</v>
      </c>
      <c r="F46" s="168">
        <f t="shared" si="11"/>
        <v>0.16129032258064516</v>
      </c>
      <c r="G46" s="168">
        <f t="shared" si="11"/>
        <v>9.6774193548387094E-2</v>
      </c>
      <c r="H46" s="168">
        <f t="shared" si="11"/>
        <v>0</v>
      </c>
      <c r="I46" s="168">
        <f t="shared" si="11"/>
        <v>0</v>
      </c>
      <c r="J46" s="168">
        <f t="shared" si="11"/>
        <v>0</v>
      </c>
      <c r="K46" s="168">
        <f t="shared" si="11"/>
        <v>6.4516129032258063E-2</v>
      </c>
      <c r="L46" s="167">
        <f t="shared" ref="L46" si="12">L39+L40</f>
        <v>0.12903225806451613</v>
      </c>
      <c r="M46" s="1"/>
      <c r="N46" s="1"/>
      <c r="O46" s="1"/>
      <c r="P46" s="1"/>
      <c r="Q46" s="1"/>
    </row>
    <row r="47" spans="1:25" ht="15.6" x14ac:dyDescent="0.3">
      <c r="A47" s="2"/>
      <c r="B47" s="111" t="str">
        <f>'Dashboard-1-AVALIAÇÃO INST.'!$A$32</f>
        <v>NÃO SE APLICA / NÃO SEI</v>
      </c>
      <c r="C47" s="172">
        <f>C41</f>
        <v>0</v>
      </c>
      <c r="D47" s="173">
        <f t="shared" ref="D47:K47" si="13">D41</f>
        <v>3.2258064516129031E-2</v>
      </c>
      <c r="E47" s="173">
        <f t="shared" si="13"/>
        <v>0</v>
      </c>
      <c r="F47" s="173">
        <f t="shared" si="13"/>
        <v>0.29032258064516131</v>
      </c>
      <c r="G47" s="173">
        <f t="shared" si="13"/>
        <v>0</v>
      </c>
      <c r="H47" s="173">
        <f t="shared" si="13"/>
        <v>0</v>
      </c>
      <c r="I47" s="173">
        <f t="shared" si="13"/>
        <v>0.12903225806451613</v>
      </c>
      <c r="J47" s="173">
        <f t="shared" si="13"/>
        <v>0.12903225806451613</v>
      </c>
      <c r="K47" s="173">
        <f t="shared" si="13"/>
        <v>0.12903225806451613</v>
      </c>
      <c r="L47" s="174">
        <f t="shared" ref="L47" si="14">L41</f>
        <v>0.12903225806451613</v>
      </c>
      <c r="M47" s="1"/>
      <c r="N47" s="1"/>
      <c r="O47" s="1"/>
      <c r="P47" s="1"/>
      <c r="Q47" s="1"/>
    </row>
    <row r="48" spans="1:25" x14ac:dyDescent="0.25">
      <c r="A48" s="2"/>
      <c r="B48" s="91"/>
      <c r="C48" s="165">
        <f>SUM(C44:C47)</f>
        <v>1</v>
      </c>
      <c r="D48" s="165">
        <f t="shared" ref="D48:L48" si="15">SUM(D44:D47)</f>
        <v>0.99999999999999989</v>
      </c>
      <c r="E48" s="165">
        <f t="shared" si="15"/>
        <v>1</v>
      </c>
      <c r="F48" s="165">
        <f t="shared" si="15"/>
        <v>1</v>
      </c>
      <c r="G48" s="165">
        <f t="shared" si="15"/>
        <v>1</v>
      </c>
      <c r="H48" s="165">
        <f t="shared" si="15"/>
        <v>0</v>
      </c>
      <c r="I48" s="165">
        <f t="shared" si="15"/>
        <v>0.99999999999999989</v>
      </c>
      <c r="J48" s="165">
        <f t="shared" si="15"/>
        <v>0.99999999999999989</v>
      </c>
      <c r="K48" s="165">
        <f t="shared" si="15"/>
        <v>1</v>
      </c>
      <c r="L48" s="165">
        <f t="shared" si="15"/>
        <v>1</v>
      </c>
      <c r="M48" s="1"/>
      <c r="N48" s="1"/>
      <c r="O48" s="1"/>
      <c r="P48" s="1"/>
      <c r="Q48" s="1"/>
    </row>
    <row r="49" spans="1:17" x14ac:dyDescent="0.25">
      <c r="A49" s="2"/>
      <c r="B49" s="1"/>
      <c r="C49" s="1"/>
      <c r="D49" s="1"/>
      <c r="E49" s="1"/>
      <c r="F49" s="1"/>
      <c r="G49" s="1"/>
      <c r="H49" s="1"/>
      <c r="I49" s="1"/>
      <c r="J49" s="1"/>
      <c r="K49" s="1"/>
      <c r="L49" s="1"/>
      <c r="M49" s="1"/>
      <c r="N49" s="1"/>
      <c r="O49" s="1"/>
      <c r="P49" s="1"/>
      <c r="Q49" s="1"/>
    </row>
    <row r="50" spans="1:17" ht="15.75" customHeight="1" x14ac:dyDescent="0.25">
      <c r="A50" s="2">
        <v>44255.413559895838</v>
      </c>
      <c r="B50" s="1" t="s">
        <v>74</v>
      </c>
      <c r="C50" s="1">
        <v>2</v>
      </c>
      <c r="D50" s="1">
        <v>2</v>
      </c>
      <c r="E50" s="1">
        <v>5</v>
      </c>
      <c r="F50" s="1">
        <v>1</v>
      </c>
      <c r="G50" s="1">
        <v>1</v>
      </c>
      <c r="I50" s="1">
        <v>5</v>
      </c>
      <c r="J50" s="1">
        <v>5</v>
      </c>
      <c r="K50" s="1">
        <v>5</v>
      </c>
      <c r="L50" s="1">
        <v>5</v>
      </c>
      <c r="M50" s="1" t="s">
        <v>80</v>
      </c>
      <c r="N50" s="1" t="s">
        <v>76</v>
      </c>
      <c r="Q50" s="1" t="s">
        <v>76</v>
      </c>
    </row>
    <row r="51" spans="1:17" ht="15.75" customHeight="1" x14ac:dyDescent="0.25">
      <c r="A51" s="2">
        <v>44274.465686574069</v>
      </c>
      <c r="B51" s="1" t="s">
        <v>74</v>
      </c>
      <c r="C51" s="1">
        <v>5</v>
      </c>
      <c r="D51" s="1">
        <v>5</v>
      </c>
      <c r="E51" s="1">
        <v>5</v>
      </c>
      <c r="F51" s="1">
        <v>0</v>
      </c>
      <c r="G51" s="1">
        <v>5</v>
      </c>
      <c r="I51" s="1">
        <v>5</v>
      </c>
      <c r="J51" s="1">
        <v>5</v>
      </c>
      <c r="K51" s="1">
        <v>5</v>
      </c>
      <c r="L51" s="1">
        <v>5</v>
      </c>
      <c r="M51" s="1" t="s">
        <v>85</v>
      </c>
      <c r="N51" s="1" t="s">
        <v>86</v>
      </c>
      <c r="P51" s="1" t="s">
        <v>119</v>
      </c>
      <c r="Q51" s="1" t="s">
        <v>79</v>
      </c>
    </row>
    <row r="52" spans="1:17" ht="15.75" customHeight="1" x14ac:dyDescent="0.25">
      <c r="A52" s="2">
        <v>44274.476987569447</v>
      </c>
      <c r="B52" s="1" t="s">
        <v>30</v>
      </c>
      <c r="C52" s="1">
        <v>5</v>
      </c>
      <c r="D52" s="1">
        <v>5</v>
      </c>
      <c r="E52" s="1">
        <v>4</v>
      </c>
      <c r="F52" s="1">
        <v>3</v>
      </c>
      <c r="G52" s="1">
        <v>5</v>
      </c>
      <c r="I52" s="1">
        <v>5</v>
      </c>
      <c r="J52" s="1">
        <v>5</v>
      </c>
      <c r="K52" s="1">
        <v>5</v>
      </c>
      <c r="L52" s="1">
        <v>5</v>
      </c>
      <c r="M52" s="1" t="s">
        <v>120</v>
      </c>
      <c r="N52" s="1" t="s">
        <v>79</v>
      </c>
      <c r="P52" s="1" t="s">
        <v>121</v>
      </c>
      <c r="Q52" s="1" t="s">
        <v>79</v>
      </c>
    </row>
    <row r="53" spans="1:17" ht="15.75" customHeight="1" x14ac:dyDescent="0.25">
      <c r="A53" s="2">
        <v>44274.478640925925</v>
      </c>
      <c r="B53" s="1" t="s">
        <v>74</v>
      </c>
      <c r="C53" s="1">
        <v>5</v>
      </c>
      <c r="D53" s="1">
        <v>5</v>
      </c>
      <c r="E53" s="1">
        <v>5</v>
      </c>
      <c r="F53" s="1">
        <v>5</v>
      </c>
      <c r="G53" s="1">
        <v>5</v>
      </c>
      <c r="I53" s="1">
        <v>5</v>
      </c>
      <c r="J53" s="1">
        <v>5</v>
      </c>
      <c r="K53" s="1">
        <v>1</v>
      </c>
      <c r="L53" s="1">
        <v>3</v>
      </c>
      <c r="M53" s="1" t="s">
        <v>122</v>
      </c>
      <c r="N53" s="1" t="s">
        <v>76</v>
      </c>
      <c r="P53" s="1" t="s">
        <v>123</v>
      </c>
      <c r="Q53" s="1" t="s">
        <v>79</v>
      </c>
    </row>
    <row r="54" spans="1:17" ht="15.75" customHeight="1" x14ac:dyDescent="0.25">
      <c r="A54" s="2">
        <v>44274.494079328702</v>
      </c>
      <c r="B54" s="1" t="s">
        <v>74</v>
      </c>
      <c r="C54" s="1">
        <v>2</v>
      </c>
      <c r="D54" s="1">
        <v>1</v>
      </c>
      <c r="E54" s="1">
        <v>4</v>
      </c>
      <c r="F54" s="1">
        <v>0</v>
      </c>
      <c r="G54" s="1">
        <v>5</v>
      </c>
      <c r="I54" s="1">
        <v>4</v>
      </c>
      <c r="J54" s="1">
        <v>5</v>
      </c>
      <c r="K54" s="1">
        <v>2</v>
      </c>
      <c r="L54" s="1">
        <v>1</v>
      </c>
      <c r="M54" s="1" t="s">
        <v>124</v>
      </c>
      <c r="N54" s="1" t="s">
        <v>76</v>
      </c>
      <c r="Q54" s="1" t="s">
        <v>76</v>
      </c>
    </row>
    <row r="55" spans="1:17" ht="15.75" customHeight="1" x14ac:dyDescent="0.25">
      <c r="A55" s="2">
        <v>44274.499523402774</v>
      </c>
      <c r="B55" s="1" t="s">
        <v>74</v>
      </c>
      <c r="C55" s="1">
        <v>5</v>
      </c>
      <c r="D55" s="1">
        <v>5</v>
      </c>
      <c r="E55" s="1">
        <v>5</v>
      </c>
      <c r="F55" s="1">
        <v>0</v>
      </c>
      <c r="G55" s="1">
        <v>5</v>
      </c>
      <c r="I55" s="1">
        <v>5</v>
      </c>
      <c r="J55" s="1">
        <v>5</v>
      </c>
      <c r="K55" s="1">
        <v>5</v>
      </c>
      <c r="L55" s="1">
        <v>5</v>
      </c>
      <c r="M55" s="1" t="s">
        <v>75</v>
      </c>
      <c r="N55" s="1" t="s">
        <v>79</v>
      </c>
      <c r="P55" s="1" t="s">
        <v>125</v>
      </c>
      <c r="Q55" s="1" t="s">
        <v>79</v>
      </c>
    </row>
    <row r="56" spans="1:17" ht="15.75" customHeight="1" x14ac:dyDescent="0.25">
      <c r="A56" s="2">
        <v>44274.507032777779</v>
      </c>
      <c r="B56" s="1" t="s">
        <v>74</v>
      </c>
      <c r="C56" s="1">
        <v>5</v>
      </c>
      <c r="D56" s="1">
        <v>5</v>
      </c>
      <c r="E56" s="1">
        <v>4</v>
      </c>
      <c r="F56" s="1">
        <v>4</v>
      </c>
      <c r="G56" s="1">
        <v>5</v>
      </c>
      <c r="H56" s="1" t="s">
        <v>126</v>
      </c>
      <c r="I56" s="1">
        <v>5</v>
      </c>
      <c r="J56" s="1">
        <v>5</v>
      </c>
      <c r="K56" s="1">
        <v>4</v>
      </c>
      <c r="L56" s="1">
        <v>5</v>
      </c>
      <c r="M56" s="1" t="s">
        <v>101</v>
      </c>
      <c r="N56" s="1" t="s">
        <v>79</v>
      </c>
      <c r="Q56" s="1" t="s">
        <v>79</v>
      </c>
    </row>
    <row r="57" spans="1:17" ht="15.75" customHeight="1" x14ac:dyDescent="0.25">
      <c r="A57" s="2">
        <v>44274.527552777778</v>
      </c>
      <c r="B57" s="1" t="s">
        <v>74</v>
      </c>
      <c r="C57" s="1">
        <v>5</v>
      </c>
      <c r="D57" s="1">
        <v>4</v>
      </c>
      <c r="E57" s="1">
        <v>5</v>
      </c>
      <c r="F57" s="1">
        <v>5</v>
      </c>
      <c r="G57" s="1">
        <v>5</v>
      </c>
      <c r="I57" s="1">
        <v>5</v>
      </c>
      <c r="J57" s="1">
        <v>5</v>
      </c>
      <c r="K57" s="1">
        <v>5</v>
      </c>
      <c r="L57" s="1">
        <v>5</v>
      </c>
      <c r="M57" s="1" t="s">
        <v>75</v>
      </c>
      <c r="N57" s="1" t="s">
        <v>76</v>
      </c>
      <c r="O57" s="1" t="s">
        <v>127</v>
      </c>
      <c r="P57" s="1" t="s">
        <v>128</v>
      </c>
      <c r="Q57" s="1" t="s">
        <v>79</v>
      </c>
    </row>
    <row r="58" spans="1:17" ht="15.75" customHeight="1" x14ac:dyDescent="0.25">
      <c r="A58" s="2">
        <v>44274.610819571761</v>
      </c>
      <c r="B58" s="1" t="s">
        <v>74</v>
      </c>
      <c r="C58" s="1">
        <v>5</v>
      </c>
      <c r="D58" s="1">
        <v>5</v>
      </c>
      <c r="E58" s="1">
        <v>5</v>
      </c>
      <c r="F58" s="1">
        <v>5</v>
      </c>
      <c r="G58" s="1">
        <v>5</v>
      </c>
      <c r="I58" s="1">
        <v>5</v>
      </c>
      <c r="J58" s="1">
        <v>5</v>
      </c>
      <c r="K58" s="1">
        <v>5</v>
      </c>
      <c r="L58" s="1">
        <v>5</v>
      </c>
      <c r="M58" s="1" t="s">
        <v>75</v>
      </c>
      <c r="N58" s="1" t="s">
        <v>79</v>
      </c>
      <c r="P58" s="1" t="s">
        <v>129</v>
      </c>
      <c r="Q58" s="1" t="s">
        <v>79</v>
      </c>
    </row>
    <row r="59" spans="1:17" ht="15.75" customHeight="1" x14ac:dyDescent="0.25">
      <c r="A59" s="2">
        <v>44274.614555405089</v>
      </c>
      <c r="B59" s="1" t="s">
        <v>74</v>
      </c>
      <c r="C59" s="1">
        <v>4</v>
      </c>
      <c r="D59" s="1">
        <v>5</v>
      </c>
      <c r="E59" s="1">
        <v>5</v>
      </c>
      <c r="F59" s="1">
        <v>0</v>
      </c>
      <c r="G59" s="1">
        <v>5</v>
      </c>
      <c r="I59" s="1">
        <v>4</v>
      </c>
      <c r="J59" s="1">
        <v>4</v>
      </c>
      <c r="K59" s="1">
        <v>3</v>
      </c>
      <c r="L59" s="1">
        <v>4</v>
      </c>
      <c r="M59" s="1" t="s">
        <v>130</v>
      </c>
      <c r="N59" s="1" t="s">
        <v>86</v>
      </c>
      <c r="Q59" s="1" t="s">
        <v>76</v>
      </c>
    </row>
    <row r="60" spans="1:17" ht="15.75" customHeight="1" x14ac:dyDescent="0.25">
      <c r="A60" s="2">
        <v>44274.626887951388</v>
      </c>
      <c r="B60" s="1" t="s">
        <v>74</v>
      </c>
      <c r="C60" s="1">
        <v>4</v>
      </c>
      <c r="D60" s="1">
        <v>5</v>
      </c>
      <c r="E60" s="1">
        <v>5</v>
      </c>
      <c r="F60" s="1">
        <v>1</v>
      </c>
      <c r="G60" s="1">
        <v>3</v>
      </c>
      <c r="I60" s="1">
        <v>5</v>
      </c>
      <c r="J60" s="1">
        <v>5</v>
      </c>
      <c r="K60" s="1">
        <v>3</v>
      </c>
      <c r="L60" s="1">
        <v>2</v>
      </c>
      <c r="M60" s="1" t="s">
        <v>75</v>
      </c>
      <c r="N60" s="1" t="s">
        <v>86</v>
      </c>
      <c r="P60" s="1" t="s">
        <v>131</v>
      </c>
      <c r="Q60" s="1" t="s">
        <v>79</v>
      </c>
    </row>
    <row r="61" spans="1:17" ht="15.75" customHeight="1" x14ac:dyDescent="0.25">
      <c r="A61" s="2">
        <v>44274.639699409723</v>
      </c>
      <c r="B61" s="1" t="s">
        <v>30</v>
      </c>
      <c r="C61" s="1">
        <v>5</v>
      </c>
      <c r="D61" s="1">
        <v>5</v>
      </c>
      <c r="E61" s="1">
        <v>5</v>
      </c>
      <c r="F61" s="1">
        <v>5</v>
      </c>
      <c r="G61" s="1">
        <v>5</v>
      </c>
      <c r="H61" s="1" t="s">
        <v>132</v>
      </c>
      <c r="I61" s="1">
        <v>5</v>
      </c>
      <c r="J61" s="1">
        <v>5</v>
      </c>
      <c r="K61" s="1">
        <v>5</v>
      </c>
      <c r="L61" s="1">
        <v>5</v>
      </c>
      <c r="M61" s="1" t="s">
        <v>80</v>
      </c>
      <c r="N61" s="1" t="s">
        <v>79</v>
      </c>
      <c r="P61" s="1" t="s">
        <v>133</v>
      </c>
      <c r="Q61" s="1" t="s">
        <v>76</v>
      </c>
    </row>
    <row r="62" spans="1:17" x14ac:dyDescent="0.25">
      <c r="A62" s="2">
        <v>44274.668411006947</v>
      </c>
      <c r="B62" s="1" t="s">
        <v>74</v>
      </c>
      <c r="C62" s="1">
        <v>5</v>
      </c>
      <c r="D62" s="1">
        <v>5</v>
      </c>
      <c r="E62" s="1">
        <v>5</v>
      </c>
      <c r="F62" s="1">
        <v>5</v>
      </c>
      <c r="G62" s="1">
        <v>5</v>
      </c>
      <c r="I62" s="1">
        <v>5</v>
      </c>
      <c r="J62" s="1">
        <v>5</v>
      </c>
      <c r="K62" s="1">
        <v>4</v>
      </c>
      <c r="L62" s="1">
        <v>5</v>
      </c>
      <c r="M62" s="1" t="s">
        <v>134</v>
      </c>
      <c r="N62" s="1" t="s">
        <v>76</v>
      </c>
      <c r="Q62" s="1" t="s">
        <v>79</v>
      </c>
    </row>
    <row r="63" spans="1:17" x14ac:dyDescent="0.25">
      <c r="A63" s="2">
        <v>44274.669756967589</v>
      </c>
      <c r="B63" s="1" t="s">
        <v>74</v>
      </c>
      <c r="C63" s="1">
        <v>5</v>
      </c>
      <c r="D63" s="1">
        <v>5</v>
      </c>
      <c r="E63" s="1">
        <v>5</v>
      </c>
      <c r="F63" s="1">
        <v>4</v>
      </c>
      <c r="G63" s="1">
        <v>5</v>
      </c>
      <c r="H63" s="1" t="s">
        <v>135</v>
      </c>
      <c r="I63" s="1">
        <v>5</v>
      </c>
      <c r="J63" s="1">
        <v>5</v>
      </c>
      <c r="K63" s="1">
        <v>5</v>
      </c>
      <c r="L63" s="1">
        <v>5</v>
      </c>
      <c r="M63" s="1" t="s">
        <v>122</v>
      </c>
      <c r="N63" s="1" t="s">
        <v>79</v>
      </c>
      <c r="O63" s="1" t="s">
        <v>136</v>
      </c>
      <c r="P63" s="1" t="s">
        <v>137</v>
      </c>
      <c r="Q63" s="1" t="s">
        <v>79</v>
      </c>
    </row>
    <row r="64" spans="1:17" x14ac:dyDescent="0.25">
      <c r="A64" s="2">
        <v>44274.720789918982</v>
      </c>
      <c r="B64" s="1" t="s">
        <v>74</v>
      </c>
      <c r="C64" s="1">
        <v>4</v>
      </c>
      <c r="D64" s="1">
        <v>5</v>
      </c>
      <c r="E64" s="1">
        <v>4</v>
      </c>
      <c r="F64" s="1">
        <v>4</v>
      </c>
      <c r="G64" s="1">
        <v>5</v>
      </c>
      <c r="H64" s="1" t="s">
        <v>138</v>
      </c>
      <c r="I64" s="1">
        <v>5</v>
      </c>
      <c r="J64" s="1">
        <v>5</v>
      </c>
      <c r="K64" s="1">
        <v>4</v>
      </c>
      <c r="L64" s="1">
        <v>5</v>
      </c>
      <c r="M64" s="1" t="s">
        <v>80</v>
      </c>
      <c r="N64" s="1" t="s">
        <v>79</v>
      </c>
      <c r="O64" s="1" t="s">
        <v>139</v>
      </c>
      <c r="P64" s="1" t="s">
        <v>140</v>
      </c>
      <c r="Q64" s="1" t="s">
        <v>79</v>
      </c>
    </row>
    <row r="65" spans="1:17" x14ac:dyDescent="0.25">
      <c r="A65" s="2">
        <v>44274.727810567128</v>
      </c>
      <c r="B65" s="1" t="s">
        <v>74</v>
      </c>
      <c r="C65" s="1">
        <v>4</v>
      </c>
      <c r="D65" s="1">
        <v>5</v>
      </c>
      <c r="E65" s="1">
        <v>5</v>
      </c>
      <c r="F65" s="1">
        <v>3</v>
      </c>
      <c r="G65" s="1">
        <v>5</v>
      </c>
      <c r="I65" s="1">
        <v>4</v>
      </c>
      <c r="J65" s="1">
        <v>5</v>
      </c>
      <c r="K65" s="1">
        <v>5</v>
      </c>
      <c r="L65" s="1">
        <v>5</v>
      </c>
      <c r="M65" s="1" t="s">
        <v>80</v>
      </c>
      <c r="N65" s="1" t="s">
        <v>79</v>
      </c>
      <c r="O65" s="1" t="s">
        <v>141</v>
      </c>
      <c r="P65" s="1" t="s">
        <v>142</v>
      </c>
      <c r="Q65" s="1" t="s">
        <v>79</v>
      </c>
    </row>
    <row r="66" spans="1:17" x14ac:dyDescent="0.25">
      <c r="A66" s="2">
        <v>44274.750788483798</v>
      </c>
      <c r="B66" s="1" t="s">
        <v>74</v>
      </c>
      <c r="C66" s="1">
        <v>2</v>
      </c>
      <c r="D66" s="1">
        <v>2</v>
      </c>
      <c r="E66" s="1">
        <v>5</v>
      </c>
      <c r="F66" s="1">
        <v>2</v>
      </c>
      <c r="G66" s="1">
        <v>5</v>
      </c>
      <c r="I66" s="1">
        <v>4</v>
      </c>
      <c r="J66" s="1">
        <v>5</v>
      </c>
      <c r="K66" s="1">
        <v>1</v>
      </c>
      <c r="L66" s="1">
        <v>5</v>
      </c>
      <c r="M66" s="1" t="s">
        <v>80</v>
      </c>
      <c r="N66" s="1" t="s">
        <v>76</v>
      </c>
      <c r="O66" s="1" t="s">
        <v>143</v>
      </c>
      <c r="P66" s="1" t="s">
        <v>144</v>
      </c>
      <c r="Q66" s="1" t="s">
        <v>79</v>
      </c>
    </row>
    <row r="67" spans="1:17" x14ac:dyDescent="0.25">
      <c r="A67" s="2">
        <v>44275.442491875001</v>
      </c>
      <c r="B67" s="1" t="s">
        <v>74</v>
      </c>
      <c r="C67" s="1">
        <v>4</v>
      </c>
      <c r="D67" s="1">
        <v>5</v>
      </c>
      <c r="E67" s="1">
        <v>5</v>
      </c>
      <c r="F67" s="1">
        <v>3</v>
      </c>
      <c r="G67" s="1">
        <v>4</v>
      </c>
      <c r="I67" s="1">
        <v>5</v>
      </c>
      <c r="J67" s="1">
        <v>5</v>
      </c>
      <c r="K67" s="1">
        <v>2</v>
      </c>
      <c r="L67" s="1">
        <v>5</v>
      </c>
      <c r="M67" s="1" t="s">
        <v>87</v>
      </c>
      <c r="N67" s="1" t="s">
        <v>86</v>
      </c>
      <c r="Q67" s="1" t="s">
        <v>79</v>
      </c>
    </row>
    <row r="68" spans="1:17" x14ac:dyDescent="0.25">
      <c r="A68" s="2">
        <v>44276.444458715283</v>
      </c>
      <c r="B68" s="1" t="s">
        <v>30</v>
      </c>
      <c r="C68" s="1">
        <v>4</v>
      </c>
      <c r="D68" s="1">
        <v>5</v>
      </c>
      <c r="E68" s="1">
        <v>4</v>
      </c>
      <c r="F68" s="1">
        <v>3</v>
      </c>
      <c r="G68" s="1">
        <v>3</v>
      </c>
      <c r="I68" s="1">
        <v>0</v>
      </c>
      <c r="J68" s="1">
        <v>0</v>
      </c>
      <c r="K68" s="1">
        <v>0</v>
      </c>
      <c r="L68" s="1">
        <v>0</v>
      </c>
      <c r="M68" s="1" t="s">
        <v>80</v>
      </c>
      <c r="N68" s="1" t="s">
        <v>79</v>
      </c>
      <c r="Q68" s="1" t="s">
        <v>76</v>
      </c>
    </row>
    <row r="69" spans="1:17" x14ac:dyDescent="0.25">
      <c r="A69" s="2">
        <v>44276.471094398148</v>
      </c>
      <c r="B69" s="1" t="s">
        <v>30</v>
      </c>
      <c r="C69" s="1">
        <v>5</v>
      </c>
      <c r="D69" s="1">
        <v>5</v>
      </c>
      <c r="E69" s="1">
        <v>5</v>
      </c>
      <c r="F69" s="1">
        <v>5</v>
      </c>
      <c r="G69" s="1">
        <v>5</v>
      </c>
      <c r="I69" s="1">
        <v>5</v>
      </c>
      <c r="J69" s="1">
        <v>5</v>
      </c>
      <c r="K69" s="1">
        <v>0</v>
      </c>
      <c r="L69" s="1">
        <v>0</v>
      </c>
      <c r="M69" s="1" t="s">
        <v>145</v>
      </c>
      <c r="N69" s="1" t="s">
        <v>79</v>
      </c>
      <c r="Q69" s="1" t="s">
        <v>79</v>
      </c>
    </row>
    <row r="70" spans="1:17" x14ac:dyDescent="0.25">
      <c r="A70" s="2">
        <v>44277.280777743057</v>
      </c>
      <c r="B70" s="1" t="s">
        <v>74</v>
      </c>
      <c r="C70" s="1">
        <v>5</v>
      </c>
      <c r="D70" s="1">
        <v>5</v>
      </c>
      <c r="E70" s="1">
        <v>5</v>
      </c>
      <c r="F70" s="1">
        <v>4</v>
      </c>
      <c r="G70" s="1">
        <v>5</v>
      </c>
      <c r="H70" s="1" t="s">
        <v>146</v>
      </c>
      <c r="I70" s="1">
        <v>5</v>
      </c>
      <c r="J70" s="1">
        <v>5</v>
      </c>
      <c r="K70" s="1">
        <v>5</v>
      </c>
      <c r="L70" s="1">
        <v>5</v>
      </c>
      <c r="M70" s="1" t="s">
        <v>122</v>
      </c>
      <c r="N70" s="1" t="s">
        <v>79</v>
      </c>
      <c r="P70" s="1" t="s">
        <v>147</v>
      </c>
      <c r="Q70" s="1" t="s">
        <v>79</v>
      </c>
    </row>
    <row r="71" spans="1:17" x14ac:dyDescent="0.25">
      <c r="A71" s="2">
        <v>44277.360821388887</v>
      </c>
      <c r="B71" s="1" t="s">
        <v>30</v>
      </c>
      <c r="C71" s="1">
        <v>5</v>
      </c>
      <c r="D71" s="1">
        <v>5</v>
      </c>
      <c r="E71" s="1">
        <v>5</v>
      </c>
      <c r="F71" s="1">
        <v>5</v>
      </c>
      <c r="G71" s="1">
        <v>5</v>
      </c>
      <c r="I71" s="1">
        <v>0</v>
      </c>
      <c r="J71" s="1">
        <v>0</v>
      </c>
      <c r="K71" s="1">
        <v>0</v>
      </c>
      <c r="L71" s="1">
        <v>0</v>
      </c>
      <c r="M71" s="1" t="s">
        <v>148</v>
      </c>
      <c r="N71" s="1" t="s">
        <v>76</v>
      </c>
      <c r="Q71" s="1" t="s">
        <v>76</v>
      </c>
    </row>
    <row r="72" spans="1:17" x14ac:dyDescent="0.25">
      <c r="A72" s="2">
        <v>44277.577990347221</v>
      </c>
      <c r="B72" s="1" t="s">
        <v>30</v>
      </c>
      <c r="C72" s="1">
        <v>5</v>
      </c>
      <c r="D72" s="1">
        <v>5</v>
      </c>
      <c r="E72" s="1">
        <v>5</v>
      </c>
      <c r="F72" s="1">
        <v>0</v>
      </c>
      <c r="G72" s="1">
        <v>5</v>
      </c>
      <c r="I72" s="1">
        <v>5</v>
      </c>
      <c r="J72" s="1">
        <v>5</v>
      </c>
      <c r="K72" s="1">
        <v>5</v>
      </c>
      <c r="L72" s="1">
        <v>4</v>
      </c>
      <c r="M72" s="1" t="s">
        <v>134</v>
      </c>
      <c r="N72" s="1" t="s">
        <v>76</v>
      </c>
      <c r="Q72" s="1" t="s">
        <v>79</v>
      </c>
    </row>
    <row r="73" spans="1:17" x14ac:dyDescent="0.25">
      <c r="A73" s="2">
        <v>44277.626877337963</v>
      </c>
      <c r="B73" s="1" t="s">
        <v>30</v>
      </c>
      <c r="C73" s="1">
        <v>5</v>
      </c>
      <c r="D73" s="1">
        <v>5</v>
      </c>
      <c r="E73" s="1">
        <v>5</v>
      </c>
      <c r="F73" s="1">
        <v>5</v>
      </c>
      <c r="G73" s="1">
        <v>5</v>
      </c>
      <c r="I73" s="1">
        <v>5</v>
      </c>
      <c r="J73" s="1">
        <v>5</v>
      </c>
      <c r="K73" s="1">
        <v>1</v>
      </c>
      <c r="L73" s="1">
        <v>5</v>
      </c>
      <c r="M73" s="1" t="s">
        <v>87</v>
      </c>
      <c r="N73" s="1" t="s">
        <v>79</v>
      </c>
      <c r="Q73" s="1" t="s">
        <v>76</v>
      </c>
    </row>
    <row r="74" spans="1:17" x14ac:dyDescent="0.25">
      <c r="A74" s="2">
        <v>44277.804006284721</v>
      </c>
      <c r="B74" s="1" t="s">
        <v>30</v>
      </c>
      <c r="C74" s="1">
        <v>3</v>
      </c>
      <c r="D74" s="1">
        <v>4</v>
      </c>
      <c r="E74" s="1">
        <v>3</v>
      </c>
      <c r="F74" s="1">
        <v>0</v>
      </c>
      <c r="G74" s="1">
        <v>0</v>
      </c>
      <c r="I74" s="1">
        <v>5</v>
      </c>
      <c r="J74" s="1">
        <v>5</v>
      </c>
      <c r="K74" s="1">
        <v>0</v>
      </c>
      <c r="L74" s="1">
        <v>0</v>
      </c>
      <c r="M74" s="1" t="s">
        <v>80</v>
      </c>
      <c r="N74" s="1" t="s">
        <v>86</v>
      </c>
      <c r="Q74" s="1" t="s">
        <v>76</v>
      </c>
    </row>
    <row r="75" spans="1:17" x14ac:dyDescent="0.25">
      <c r="A75" s="2">
        <v>44277.920344999999</v>
      </c>
      <c r="B75" s="1" t="s">
        <v>74</v>
      </c>
      <c r="C75" s="1">
        <v>5</v>
      </c>
      <c r="D75" s="1">
        <v>5</v>
      </c>
      <c r="E75" s="1">
        <v>5</v>
      </c>
      <c r="F75" s="1">
        <v>5</v>
      </c>
      <c r="G75" s="1">
        <v>5</v>
      </c>
      <c r="H75" s="1" t="s">
        <v>149</v>
      </c>
      <c r="I75" s="1">
        <v>5</v>
      </c>
      <c r="J75" s="1">
        <v>5</v>
      </c>
      <c r="K75" s="1">
        <v>5</v>
      </c>
      <c r="L75" s="1">
        <v>5</v>
      </c>
      <c r="M75" s="1" t="s">
        <v>80</v>
      </c>
      <c r="N75" s="1" t="s">
        <v>79</v>
      </c>
      <c r="O75" s="1" t="s">
        <v>150</v>
      </c>
      <c r="P75" s="1" t="s">
        <v>151</v>
      </c>
      <c r="Q75" s="1" t="s">
        <v>79</v>
      </c>
    </row>
    <row r="76" spans="1:17" x14ac:dyDescent="0.25">
      <c r="A76" s="2">
        <v>44285.281469918977</v>
      </c>
      <c r="B76" s="1" t="s">
        <v>30</v>
      </c>
      <c r="C76" s="1">
        <v>5</v>
      </c>
      <c r="D76" s="1">
        <v>5</v>
      </c>
      <c r="E76" s="1">
        <v>5</v>
      </c>
      <c r="F76" s="1">
        <v>2</v>
      </c>
      <c r="G76" s="1">
        <v>5</v>
      </c>
      <c r="I76" s="1">
        <v>5</v>
      </c>
      <c r="J76" s="1">
        <v>5</v>
      </c>
      <c r="K76" s="1">
        <v>4</v>
      </c>
      <c r="L76" s="1">
        <v>5</v>
      </c>
      <c r="M76" s="1" t="s">
        <v>134</v>
      </c>
      <c r="N76" s="1" t="s">
        <v>79</v>
      </c>
      <c r="O76" s="1" t="s">
        <v>152</v>
      </c>
      <c r="P76" s="1" t="s">
        <v>153</v>
      </c>
      <c r="Q76" s="1" t="s">
        <v>79</v>
      </c>
    </row>
    <row r="77" spans="1:17" x14ac:dyDescent="0.25">
      <c r="A77" s="2">
        <v>44287.658388877317</v>
      </c>
      <c r="B77" s="1" t="s">
        <v>30</v>
      </c>
      <c r="C77" s="1">
        <v>5</v>
      </c>
      <c r="D77" s="1">
        <v>5</v>
      </c>
      <c r="E77" s="1">
        <v>5</v>
      </c>
      <c r="F77" s="1">
        <v>5</v>
      </c>
      <c r="G77" s="1">
        <v>5</v>
      </c>
      <c r="I77" s="1">
        <v>5</v>
      </c>
      <c r="J77" s="1">
        <v>5</v>
      </c>
      <c r="K77" s="1">
        <v>5</v>
      </c>
      <c r="L77" s="1">
        <v>5</v>
      </c>
      <c r="M77" s="1" t="s">
        <v>80</v>
      </c>
      <c r="N77" s="1" t="s">
        <v>79</v>
      </c>
      <c r="Q77" s="1" t="s">
        <v>79</v>
      </c>
    </row>
    <row r="78" spans="1:17" x14ac:dyDescent="0.25">
      <c r="A78" s="2">
        <v>44287.732202094907</v>
      </c>
      <c r="B78" s="1" t="s">
        <v>30</v>
      </c>
      <c r="C78" s="1">
        <v>4</v>
      </c>
      <c r="D78" s="1">
        <v>5</v>
      </c>
      <c r="E78" s="1">
        <v>4</v>
      </c>
      <c r="F78" s="1">
        <v>5</v>
      </c>
      <c r="G78" s="1">
        <v>5</v>
      </c>
      <c r="I78" s="1">
        <v>0</v>
      </c>
      <c r="J78" s="1">
        <v>0</v>
      </c>
      <c r="K78" s="1">
        <v>0</v>
      </c>
      <c r="L78" s="1">
        <v>0</v>
      </c>
      <c r="M78" s="1" t="s">
        <v>154</v>
      </c>
      <c r="N78" s="1" t="s">
        <v>79</v>
      </c>
      <c r="Q78" s="1" t="s">
        <v>76</v>
      </c>
    </row>
    <row r="79" spans="1:17" x14ac:dyDescent="0.25">
      <c r="A79" s="2">
        <v>44288.365569456015</v>
      </c>
      <c r="B79" s="1" t="s">
        <v>30</v>
      </c>
      <c r="C79" s="1">
        <v>5</v>
      </c>
      <c r="D79" s="1">
        <v>5</v>
      </c>
      <c r="E79" s="1">
        <v>5</v>
      </c>
      <c r="F79" s="1">
        <v>4</v>
      </c>
      <c r="G79" s="1">
        <v>5</v>
      </c>
      <c r="I79" s="1">
        <v>5</v>
      </c>
      <c r="J79" s="1">
        <v>5</v>
      </c>
      <c r="K79" s="1">
        <v>4</v>
      </c>
      <c r="L79" s="1">
        <v>5</v>
      </c>
      <c r="M79" s="1" t="s">
        <v>134</v>
      </c>
      <c r="N79" s="1" t="s">
        <v>79</v>
      </c>
      <c r="Q79" s="1" t="s">
        <v>79</v>
      </c>
    </row>
    <row r="80" spans="1:17" x14ac:dyDescent="0.25">
      <c r="A80" s="2">
        <v>44288.52405295139</v>
      </c>
      <c r="B80" s="1" t="s">
        <v>30</v>
      </c>
      <c r="C80" s="1">
        <v>5</v>
      </c>
      <c r="D80" s="1">
        <v>5</v>
      </c>
      <c r="E80" s="1">
        <v>5</v>
      </c>
      <c r="F80" s="1">
        <v>4</v>
      </c>
      <c r="G80" s="1">
        <v>5</v>
      </c>
      <c r="I80" s="1">
        <v>5</v>
      </c>
      <c r="J80" s="1">
        <v>5</v>
      </c>
      <c r="K80" s="1">
        <v>5</v>
      </c>
      <c r="L80" s="1">
        <v>4</v>
      </c>
      <c r="M80" s="1" t="s">
        <v>80</v>
      </c>
      <c r="N80" s="1" t="s">
        <v>79</v>
      </c>
      <c r="Q80" s="1" t="s">
        <v>79</v>
      </c>
    </row>
    <row r="81" spans="1:22" x14ac:dyDescent="0.25">
      <c r="A81" s="2">
        <v>44288.719381655093</v>
      </c>
      <c r="B81" s="1" t="s">
        <v>74</v>
      </c>
      <c r="C81" s="1">
        <v>0</v>
      </c>
      <c r="D81" s="1">
        <v>0</v>
      </c>
      <c r="E81" s="1">
        <v>0</v>
      </c>
      <c r="F81" s="1">
        <v>0</v>
      </c>
      <c r="G81" s="1">
        <v>0</v>
      </c>
      <c r="H81" s="1" t="s">
        <v>155</v>
      </c>
      <c r="I81" s="1">
        <v>4</v>
      </c>
      <c r="J81" s="1">
        <v>5</v>
      </c>
      <c r="K81" s="1">
        <v>4</v>
      </c>
      <c r="L81" s="1">
        <v>4</v>
      </c>
      <c r="M81" s="1" t="s">
        <v>87</v>
      </c>
      <c r="N81" s="1" t="s">
        <v>86</v>
      </c>
      <c r="P81" s="1" t="s">
        <v>156</v>
      </c>
      <c r="Q81" s="1" t="s">
        <v>79</v>
      </c>
    </row>
    <row r="82" spans="1:22" x14ac:dyDescent="0.25">
      <c r="A82" s="2">
        <v>44289.56599372685</v>
      </c>
      <c r="B82" s="1" t="s">
        <v>30</v>
      </c>
      <c r="C82" s="1">
        <v>5</v>
      </c>
      <c r="D82" s="1">
        <v>5</v>
      </c>
      <c r="E82" s="1">
        <v>5</v>
      </c>
      <c r="F82" s="1">
        <v>5</v>
      </c>
      <c r="G82" s="1">
        <v>5</v>
      </c>
      <c r="I82" s="1">
        <v>5</v>
      </c>
      <c r="J82" s="1">
        <v>5</v>
      </c>
      <c r="K82" s="1">
        <v>5</v>
      </c>
      <c r="L82" s="1">
        <v>5</v>
      </c>
      <c r="M82" s="1" t="s">
        <v>87</v>
      </c>
      <c r="N82" s="1" t="s">
        <v>86</v>
      </c>
      <c r="Q82" s="1" t="s">
        <v>76</v>
      </c>
    </row>
    <row r="83" spans="1:22" x14ac:dyDescent="0.25">
      <c r="A83" s="2">
        <v>44295.975842164349</v>
      </c>
      <c r="B83" s="1" t="s">
        <v>30</v>
      </c>
      <c r="C83" s="1">
        <v>4</v>
      </c>
      <c r="D83" s="1">
        <v>5</v>
      </c>
      <c r="E83" s="1">
        <v>3</v>
      </c>
      <c r="F83" s="1">
        <v>0</v>
      </c>
      <c r="G83" s="1">
        <v>5</v>
      </c>
      <c r="I83" s="1">
        <v>5</v>
      </c>
      <c r="J83" s="1">
        <v>5</v>
      </c>
      <c r="K83" s="1">
        <v>5</v>
      </c>
      <c r="L83" s="1">
        <v>5</v>
      </c>
      <c r="M83" s="1" t="s">
        <v>80</v>
      </c>
      <c r="N83" s="1" t="s">
        <v>79</v>
      </c>
      <c r="Q83" s="1" t="s">
        <v>79</v>
      </c>
    </row>
    <row r="84" spans="1:22" x14ac:dyDescent="0.25">
      <c r="A84" s="63">
        <v>44299.404849537037</v>
      </c>
      <c r="B84" s="64" t="s">
        <v>74</v>
      </c>
      <c r="C84" s="64">
        <v>3</v>
      </c>
      <c r="D84" s="64">
        <v>5</v>
      </c>
      <c r="E84" s="64">
        <v>3</v>
      </c>
      <c r="F84" s="64">
        <v>5</v>
      </c>
      <c r="G84" s="64">
        <v>2</v>
      </c>
      <c r="H84" s="64"/>
      <c r="I84" s="64">
        <v>2</v>
      </c>
      <c r="J84" s="64">
        <v>5</v>
      </c>
      <c r="K84" s="64">
        <v>5</v>
      </c>
      <c r="L84" s="64">
        <v>5</v>
      </c>
      <c r="M84" s="64" t="s">
        <v>80</v>
      </c>
      <c r="N84" s="64" t="s">
        <v>86</v>
      </c>
      <c r="O84" s="64" t="s">
        <v>277</v>
      </c>
      <c r="P84" s="64"/>
      <c r="Q84" s="64" t="s">
        <v>76</v>
      </c>
      <c r="R84" s="211"/>
      <c r="S84" s="211"/>
      <c r="T84" s="211"/>
      <c r="U84" s="211"/>
      <c r="V84" s="211"/>
    </row>
    <row r="85" spans="1:22" x14ac:dyDescent="0.25">
      <c r="A85" s="63"/>
      <c r="B85" s="64"/>
      <c r="C85" s="64"/>
      <c r="D85" s="64"/>
      <c r="E85" s="64"/>
      <c r="F85" s="64"/>
      <c r="G85" s="64"/>
      <c r="H85" s="64"/>
      <c r="I85" s="64"/>
      <c r="J85" s="64"/>
      <c r="K85" s="64"/>
      <c r="L85" s="64"/>
      <c r="M85" s="64"/>
      <c r="N85" s="64"/>
      <c r="O85" s="64"/>
      <c r="P85" s="64"/>
      <c r="Q85" s="64"/>
      <c r="R85" s="211"/>
      <c r="S85" s="211"/>
      <c r="T85" s="211"/>
      <c r="U85" s="211"/>
      <c r="V85" s="211"/>
    </row>
    <row r="90" spans="1:22" x14ac:dyDescent="0.25">
      <c r="B90" s="1"/>
      <c r="C90" s="9" t="s">
        <v>216</v>
      </c>
      <c r="D90" s="9" t="s">
        <v>217</v>
      </c>
      <c r="E90" s="9" t="s">
        <v>218</v>
      </c>
      <c r="F90" s="9" t="s">
        <v>219</v>
      </c>
      <c r="G90" s="9" t="s">
        <v>220</v>
      </c>
      <c r="I90" s="9" t="s">
        <v>221</v>
      </c>
      <c r="J90" s="9" t="s">
        <v>222</v>
      </c>
      <c r="K90" s="9" t="s">
        <v>223</v>
      </c>
      <c r="L90" s="9" t="s">
        <v>224</v>
      </c>
    </row>
    <row r="91" spans="1:22" x14ac:dyDescent="0.25">
      <c r="A91" s="10" t="str">
        <f>'Dashboard-1-AVALIAÇÃO INST.'!$A$21</f>
        <v>5-ÓTIMO</v>
      </c>
      <c r="B91" s="1"/>
      <c r="C91" s="7">
        <f>COUNTIFS(C$50:C$88,5)/$A$99</f>
        <v>0.6</v>
      </c>
      <c r="D91" s="7">
        <f>COUNTIFS(D$50:D$88,5)/$A$99</f>
        <v>0.82857142857142863</v>
      </c>
      <c r="E91" s="7">
        <f>COUNTIFS(E$50:E$88,5)/$A$99</f>
        <v>0.7142857142857143</v>
      </c>
      <c r="F91" s="7">
        <f>COUNTIFS(F$50:F$88,5)/$A$99</f>
        <v>0.37142857142857144</v>
      </c>
      <c r="G91" s="7">
        <f>COUNTIFS(G$50:G$88,5)/$A$99</f>
        <v>0.8</v>
      </c>
      <c r="I91" s="7">
        <f>COUNTIFS(I$50:I$88,5)/$A$99</f>
        <v>0.74285714285714288</v>
      </c>
      <c r="J91" s="7">
        <f>COUNTIFS(J$50:J$88,5)/$A$99</f>
        <v>0.88571428571428568</v>
      </c>
      <c r="K91" s="7">
        <f>COUNTIFS(K$50:K$88,5)/$A$99</f>
        <v>0.48571428571428571</v>
      </c>
      <c r="L91" s="7">
        <f>COUNTIFS(L$50:L$88,5)/$A$99</f>
        <v>0.65714285714285714</v>
      </c>
    </row>
    <row r="92" spans="1:22" x14ac:dyDescent="0.25">
      <c r="A92" s="10" t="str">
        <f>'Dashboard-1-AVALIAÇÃO INST.'!$A$22</f>
        <v>4-MUITO BOM</v>
      </c>
      <c r="B92" s="1"/>
      <c r="C92" s="7">
        <f>COUNTIFS(C$50:C$88,4)/$A$99</f>
        <v>0.22857142857142856</v>
      </c>
      <c r="D92" s="7">
        <f>COUNTIFS(D$50:D$88,4)/$A$99</f>
        <v>5.7142857142857141E-2</v>
      </c>
      <c r="E92" s="7">
        <f>COUNTIFS(E$50:E$88,4)/$A$99</f>
        <v>0.17142857142857143</v>
      </c>
      <c r="F92" s="7">
        <f>COUNTIFS(F$50:F$88,4)/$A$99</f>
        <v>0.17142857142857143</v>
      </c>
      <c r="G92" s="7">
        <f>COUNTIFS(G$50:G$88,4)/$A$99</f>
        <v>2.8571428571428571E-2</v>
      </c>
      <c r="I92" s="7">
        <f>COUNTIFS(I$50:I$88,4)/$A$99</f>
        <v>0.14285714285714285</v>
      </c>
      <c r="J92" s="7">
        <f>COUNTIFS(J$50:J$88,4)/$A$99</f>
        <v>2.8571428571428571E-2</v>
      </c>
      <c r="K92" s="7">
        <f>COUNTIFS(K$50:K$88,4)/$A$99</f>
        <v>0.17142857142857143</v>
      </c>
      <c r="L92" s="7">
        <f>COUNTIFS(L$50:L$88,4)/$A$99</f>
        <v>0.11428571428571428</v>
      </c>
    </row>
    <row r="93" spans="1:22" x14ac:dyDescent="0.25">
      <c r="A93" s="10" t="str">
        <f>'Dashboard-1-AVALIAÇÃO INST.'!$A$23</f>
        <v>3-BOM</v>
      </c>
      <c r="B93" s="1"/>
      <c r="C93" s="7">
        <f>COUNTIFS(C$50:C$88,3)/$A$99</f>
        <v>5.7142857142857141E-2</v>
      </c>
      <c r="D93" s="7">
        <f>COUNTIFS(D$50:D$88,3)/$A$99</f>
        <v>0</v>
      </c>
      <c r="E93" s="7">
        <f>COUNTIFS(E$50:E$88,3)/$A$99</f>
        <v>8.5714285714285715E-2</v>
      </c>
      <c r="F93" s="7">
        <f>COUNTIFS(F$50:F$88,3)/$A$99</f>
        <v>0.11428571428571428</v>
      </c>
      <c r="G93" s="7">
        <f>COUNTIFS(G$50:G$88,3)/$A$99</f>
        <v>5.7142857142857141E-2</v>
      </c>
      <c r="I93" s="7">
        <f>COUNTIFS(I$50:I$88,3)/$A$99</f>
        <v>0</v>
      </c>
      <c r="J93" s="7">
        <f>COUNTIFS(J$50:J$88,3)/$A$99</f>
        <v>0</v>
      </c>
      <c r="K93" s="7">
        <f>COUNTIFS(K$50:K$88,3)/$A$99</f>
        <v>5.7142857142857141E-2</v>
      </c>
      <c r="L93" s="7">
        <f>COUNTIFS(L$50:L$88,3)/$A$99</f>
        <v>2.8571428571428571E-2</v>
      </c>
    </row>
    <row r="94" spans="1:22" x14ac:dyDescent="0.25">
      <c r="A94" s="10" t="str">
        <f>'Dashboard-1-AVALIAÇÃO INST.'!$A$24</f>
        <v>2-REGULAR</v>
      </c>
      <c r="B94" s="1"/>
      <c r="C94" s="7">
        <f>COUNTIFS(C$50:C$88,2)/$A$99</f>
        <v>8.5714285714285715E-2</v>
      </c>
      <c r="D94" s="7">
        <f>COUNTIFS(D$50:D$88,2)/$A$99</f>
        <v>5.7142857142857141E-2</v>
      </c>
      <c r="E94" s="7">
        <f>COUNTIFS(E$50:E$88,2)/$A$99</f>
        <v>0</v>
      </c>
      <c r="F94" s="7">
        <f>COUNTIFS(F$50:F$88,2)/$A$99</f>
        <v>5.7142857142857141E-2</v>
      </c>
      <c r="G94" s="7">
        <f>COUNTIFS(G$50:G$88,2)/$A$99</f>
        <v>2.8571428571428571E-2</v>
      </c>
      <c r="I94" s="7">
        <f>COUNTIFS(I$50:I$88,2)/$A$99</f>
        <v>2.8571428571428571E-2</v>
      </c>
      <c r="J94" s="7">
        <f>COUNTIFS(J$50:J$88,2)/$A$99</f>
        <v>0</v>
      </c>
      <c r="K94" s="7">
        <f>COUNTIFS(K$50:K$88,2)/$A$99</f>
        <v>5.7142857142857141E-2</v>
      </c>
      <c r="L94" s="7">
        <f>COUNTIFS(L$50:L$88,2)/$A$99</f>
        <v>2.8571428571428571E-2</v>
      </c>
    </row>
    <row r="95" spans="1:22" x14ac:dyDescent="0.25">
      <c r="A95" s="10" t="str">
        <f>'Dashboard-1-AVALIAÇÃO INST.'!$A$25</f>
        <v>1-RUIM</v>
      </c>
      <c r="B95" s="1"/>
      <c r="C95" s="7">
        <f>COUNTIFS(C$50:C$88,1)/$A$99</f>
        <v>0</v>
      </c>
      <c r="D95" s="7">
        <f>COUNTIFS(D$50:D$88,1)/$A$99</f>
        <v>2.8571428571428571E-2</v>
      </c>
      <c r="E95" s="7">
        <f>COUNTIFS(E$50:E$88,1)/$A$99</f>
        <v>0</v>
      </c>
      <c r="F95" s="7">
        <f>COUNTIFS(F$50:F$88,1)/$A$99</f>
        <v>5.7142857142857141E-2</v>
      </c>
      <c r="G95" s="7">
        <f>COUNTIFS(G$50:G$88,1)/$A$99</f>
        <v>2.8571428571428571E-2</v>
      </c>
      <c r="I95" s="7">
        <f>COUNTIFS(I$50:I$88,1)/$A$99</f>
        <v>0</v>
      </c>
      <c r="J95" s="7">
        <f>COUNTIFS(J$50:J$88,1)/$A$99</f>
        <v>0</v>
      </c>
      <c r="K95" s="7">
        <f>COUNTIFS(K$50:K$88,1)/$A$99</f>
        <v>8.5714285714285715E-2</v>
      </c>
      <c r="L95" s="7">
        <f>COUNTIFS(L$50:L$88,1)/$A$99</f>
        <v>2.8571428571428571E-2</v>
      </c>
    </row>
    <row r="96" spans="1:22" x14ac:dyDescent="0.25">
      <c r="A96" s="10" t="str">
        <f>'Dashboard-1-AVALIAÇÃO INST.'!$A$26</f>
        <v>0-NÃO SE APLICA</v>
      </c>
      <c r="B96" s="1"/>
      <c r="C96" s="7">
        <f>COUNTIFS(C$50:C$88,0)/$A$99</f>
        <v>2.8571428571428571E-2</v>
      </c>
      <c r="D96" s="7">
        <f>COUNTIFS(D$50:D$88,0)/$A$99</f>
        <v>2.8571428571428571E-2</v>
      </c>
      <c r="E96" s="7">
        <f>COUNTIFS(E$50:E$88,0)/$A$99</f>
        <v>2.8571428571428571E-2</v>
      </c>
      <c r="F96" s="7">
        <f>COUNTIFS(F$50:F$88,0)/$A$99</f>
        <v>0.22857142857142856</v>
      </c>
      <c r="G96" s="7">
        <f>COUNTIFS(G$50:G$88,0)/$A$99</f>
        <v>5.7142857142857141E-2</v>
      </c>
      <c r="I96" s="7">
        <f>COUNTIFS(I$50:I$88,0)/$A$99</f>
        <v>8.5714285714285715E-2</v>
      </c>
      <c r="J96" s="7">
        <f>COUNTIFS(J$50:J$88,0)/$A$99</f>
        <v>8.5714285714285715E-2</v>
      </c>
      <c r="K96" s="7">
        <f>COUNTIFS(K$50:K$88,0)/$A$99</f>
        <v>0.14285714285714285</v>
      </c>
      <c r="L96" s="7">
        <f>COUNTIFS(L$50:L$88,0)/$A$99</f>
        <v>0.14285714285714285</v>
      </c>
    </row>
    <row r="97" spans="1:12" x14ac:dyDescent="0.25">
      <c r="B97" s="1"/>
      <c r="C97" s="8" t="str">
        <f>IF(SUM(C91:C96)=1,"Conferido!","Erro!")</f>
        <v>Conferido!</v>
      </c>
      <c r="D97" s="8" t="str">
        <f>IF(SUM(D91:D96)=1,"Conferido!","Erro!")</f>
        <v>Conferido!</v>
      </c>
      <c r="E97" s="8" t="str">
        <f>IF(SUM(E91:E96)=1,"Conferido!","Erro!")</f>
        <v>Conferido!</v>
      </c>
      <c r="F97" s="8" t="str">
        <f>IF(SUM(F91:F96)=1,"Conferido!","Erro!")</f>
        <v>Conferido!</v>
      </c>
      <c r="G97" s="8" t="str">
        <f>IF(SUM(G91:G96)=1,"Conferido!","Erro!")</f>
        <v>Conferido!</v>
      </c>
      <c r="I97" s="8" t="str">
        <f>IF(SUM(I91:I96)=1,"Conferido!","Erro!")</f>
        <v>Conferido!</v>
      </c>
      <c r="J97" s="8" t="str">
        <f>IF(SUM(J91:J96)=1,"Conferido!","Erro!")</f>
        <v>Conferido!</v>
      </c>
      <c r="K97" s="8" t="str">
        <f>IF(SUM(K91:K96)=1,"Conferido!","Erro!")</f>
        <v>Conferido!</v>
      </c>
      <c r="L97" s="8" t="str">
        <f>IF(SUM(L91:L96)=1,"Conferido!","Erro!")</f>
        <v>Conferido!</v>
      </c>
    </row>
    <row r="98" spans="1:12" ht="13.8" x14ac:dyDescent="0.25">
      <c r="A98" s="5" t="s">
        <v>211</v>
      </c>
      <c r="C98" s="133" t="s">
        <v>305</v>
      </c>
      <c r="D98" s="133" t="s">
        <v>305</v>
      </c>
      <c r="E98" s="133" t="s">
        <v>305</v>
      </c>
      <c r="F98" s="133" t="s">
        <v>305</v>
      </c>
      <c r="G98" s="133" t="s">
        <v>305</v>
      </c>
      <c r="I98" s="133" t="s">
        <v>305</v>
      </c>
      <c r="J98" s="133" t="s">
        <v>305</v>
      </c>
      <c r="K98" s="133" t="s">
        <v>305</v>
      </c>
      <c r="L98" s="133" t="s">
        <v>305</v>
      </c>
    </row>
    <row r="99" spans="1:12" ht="15.6" x14ac:dyDescent="0.3">
      <c r="A99" s="6">
        <f>COUNT(C50:C86)</f>
        <v>35</v>
      </c>
      <c r="B99" s="109" t="str">
        <f>'Dashboard-1-AVALIAÇÃO INST.'!$A$29</f>
        <v>MUITO BOM / ÓTIMO</v>
      </c>
      <c r="C99" s="169">
        <f>C91+C92</f>
        <v>0.82857142857142851</v>
      </c>
      <c r="D99" s="170">
        <f t="shared" ref="D99:F99" si="16">D91+D92</f>
        <v>0.88571428571428579</v>
      </c>
      <c r="E99" s="170">
        <f t="shared" si="16"/>
        <v>0.88571428571428568</v>
      </c>
      <c r="F99" s="170">
        <f t="shared" si="16"/>
        <v>0.54285714285714293</v>
      </c>
      <c r="G99" s="170">
        <f>G91+G92</f>
        <v>0.82857142857142863</v>
      </c>
      <c r="H99" s="170">
        <f t="shared" ref="H99:L99" si="17">H91+H92</f>
        <v>0</v>
      </c>
      <c r="I99" s="170">
        <f t="shared" si="17"/>
        <v>0.88571428571428568</v>
      </c>
      <c r="J99" s="170">
        <f t="shared" si="17"/>
        <v>0.91428571428571426</v>
      </c>
      <c r="K99" s="170">
        <f t="shared" si="17"/>
        <v>0.65714285714285714</v>
      </c>
      <c r="L99" s="166">
        <f t="shared" si="17"/>
        <v>0.77142857142857146</v>
      </c>
    </row>
    <row r="100" spans="1:12" ht="15.6" x14ac:dyDescent="0.3">
      <c r="B100" s="110" t="str">
        <f>'Dashboard-1-AVALIAÇÃO INST.'!$A$30</f>
        <v>BOM</v>
      </c>
      <c r="C100" s="171">
        <f>C93</f>
        <v>5.7142857142857141E-2</v>
      </c>
      <c r="D100" s="168">
        <f t="shared" ref="D100:L100" si="18">D93</f>
        <v>0</v>
      </c>
      <c r="E100" s="168">
        <f t="shared" si="18"/>
        <v>8.5714285714285715E-2</v>
      </c>
      <c r="F100" s="168">
        <f t="shared" si="18"/>
        <v>0.11428571428571428</v>
      </c>
      <c r="G100" s="168">
        <f t="shared" si="18"/>
        <v>5.7142857142857141E-2</v>
      </c>
      <c r="H100" s="168">
        <f t="shared" si="18"/>
        <v>0</v>
      </c>
      <c r="I100" s="168">
        <f t="shared" si="18"/>
        <v>0</v>
      </c>
      <c r="J100" s="168">
        <f t="shared" si="18"/>
        <v>0</v>
      </c>
      <c r="K100" s="168">
        <f t="shared" si="18"/>
        <v>5.7142857142857141E-2</v>
      </c>
      <c r="L100" s="167">
        <f t="shared" si="18"/>
        <v>2.8571428571428571E-2</v>
      </c>
    </row>
    <row r="101" spans="1:12" ht="17.399999999999999" x14ac:dyDescent="0.3">
      <c r="A101" s="85">
        <f>A43+A99</f>
        <v>66</v>
      </c>
      <c r="B101" s="110" t="str">
        <f>'Dashboard-1-AVALIAÇÃO INST.'!$A$31</f>
        <v>RUIM / REGULAR</v>
      </c>
      <c r="C101" s="171">
        <f>C94+C95</f>
        <v>8.5714285714285715E-2</v>
      </c>
      <c r="D101" s="168">
        <f t="shared" ref="D101:L101" si="19">D94+D95</f>
        <v>8.5714285714285715E-2</v>
      </c>
      <c r="E101" s="168">
        <f t="shared" si="19"/>
        <v>0</v>
      </c>
      <c r="F101" s="168">
        <f t="shared" si="19"/>
        <v>0.11428571428571428</v>
      </c>
      <c r="G101" s="168">
        <f t="shared" si="19"/>
        <v>5.7142857142857141E-2</v>
      </c>
      <c r="H101" s="168">
        <f t="shared" si="19"/>
        <v>0</v>
      </c>
      <c r="I101" s="168">
        <f t="shared" si="19"/>
        <v>2.8571428571428571E-2</v>
      </c>
      <c r="J101" s="168">
        <f t="shared" si="19"/>
        <v>0</v>
      </c>
      <c r="K101" s="168">
        <f t="shared" si="19"/>
        <v>0.14285714285714285</v>
      </c>
      <c r="L101" s="167">
        <f t="shared" si="19"/>
        <v>5.7142857142857141E-2</v>
      </c>
    </row>
    <row r="102" spans="1:12" ht="15.6" x14ac:dyDescent="0.3">
      <c r="B102" s="111" t="str">
        <f>'Dashboard-1-AVALIAÇÃO INST.'!$A$32</f>
        <v>NÃO SE APLICA / NÃO SEI</v>
      </c>
      <c r="C102" s="172">
        <f>C96</f>
        <v>2.8571428571428571E-2</v>
      </c>
      <c r="D102" s="173">
        <f t="shared" ref="D102:L102" si="20">D96</f>
        <v>2.8571428571428571E-2</v>
      </c>
      <c r="E102" s="173">
        <f t="shared" si="20"/>
        <v>2.8571428571428571E-2</v>
      </c>
      <c r="F102" s="173">
        <f t="shared" si="20"/>
        <v>0.22857142857142856</v>
      </c>
      <c r="G102" s="173">
        <f t="shared" si="20"/>
        <v>5.7142857142857141E-2</v>
      </c>
      <c r="H102" s="173">
        <f t="shared" si="20"/>
        <v>0</v>
      </c>
      <c r="I102" s="173">
        <f t="shared" si="20"/>
        <v>8.5714285714285715E-2</v>
      </c>
      <c r="J102" s="173">
        <f t="shared" si="20"/>
        <v>8.5714285714285715E-2</v>
      </c>
      <c r="K102" s="173">
        <f t="shared" si="20"/>
        <v>0.14285714285714285</v>
      </c>
      <c r="L102" s="174">
        <f t="shared" si="20"/>
        <v>0.14285714285714285</v>
      </c>
    </row>
    <row r="103" spans="1:12" x14ac:dyDescent="0.25">
      <c r="B103" s="91"/>
      <c r="C103" s="165">
        <f>SUM(C99:C102)</f>
        <v>1</v>
      </c>
      <c r="D103" s="165">
        <f t="shared" ref="D103" si="21">SUM(D99:D102)</f>
        <v>1</v>
      </c>
      <c r="E103" s="165">
        <f t="shared" ref="E103" si="22">SUM(E99:E102)</f>
        <v>1</v>
      </c>
      <c r="F103" s="165">
        <f t="shared" ref="F103" si="23">SUM(F99:F102)</f>
        <v>1.0000000000000002</v>
      </c>
      <c r="G103" s="165">
        <f t="shared" ref="G103" si="24">SUM(G99:G102)</f>
        <v>1</v>
      </c>
      <c r="H103" s="165">
        <f t="shared" ref="H103" si="25">SUM(H99:H102)</f>
        <v>0</v>
      </c>
      <c r="I103" s="165">
        <f t="shared" ref="I103" si="26">SUM(I99:I102)</f>
        <v>1</v>
      </c>
      <c r="J103" s="165">
        <f t="shared" ref="J103" si="27">SUM(J99:J102)</f>
        <v>1</v>
      </c>
      <c r="K103" s="165">
        <f t="shared" ref="K103" si="28">SUM(K99:K102)</f>
        <v>1</v>
      </c>
      <c r="L103" s="165">
        <f t="shared" ref="L103" si="29">SUM(L99:L102)</f>
        <v>1</v>
      </c>
    </row>
  </sheetData>
  <sheetProtection algorithmName="SHA-512" hashValue="9qaBt2CpNh+RUBSYrsMp3DZu91GKseV3iGFyzM7TYHVVvbEhhxl6uior/ff26wQ2PDDI/EkEhzOjM2q52z+cFQ==" saltValue="q6HrUZ4Sjt/AveRiEoBZSw==" spinCount="100000" sheet="1" formatColumns="0"/>
  <mergeCells count="5">
    <mergeCell ref="T84:T85"/>
    <mergeCell ref="U84:U85"/>
    <mergeCell ref="V84:V85"/>
    <mergeCell ref="R84:R85"/>
    <mergeCell ref="S84:S85"/>
  </mergeCells>
  <phoneticPr fontId="16" type="noConversion"/>
  <conditionalFormatting sqref="C36:G41 I36:L41">
    <cfRule type="colorScale" priority="12">
      <colorScale>
        <cfvo type="min"/>
        <cfvo type="max"/>
        <color rgb="FFFCFCFF"/>
        <color rgb="FF63BE7B"/>
      </colorScale>
    </cfRule>
  </conditionalFormatting>
  <conditionalFormatting sqref="C42:G42 I42:L42">
    <cfRule type="iconSet" priority="13">
      <iconSet iconSet="3Flags">
        <cfvo type="percent" val="0"/>
        <cfvo type="percent" val="33"/>
        <cfvo type="percent" val="67"/>
      </iconSet>
    </cfRule>
    <cfRule type="containsText" dxfId="34" priority="14" operator="containsText" text="Conferido!">
      <formula>NOT(ISERROR(SEARCH("Conferido!",C42)))</formula>
    </cfRule>
  </conditionalFormatting>
  <conditionalFormatting sqref="C91:G96 I91:L96">
    <cfRule type="colorScale" priority="9">
      <colorScale>
        <cfvo type="min"/>
        <cfvo type="max"/>
        <color rgb="FFFCFCFF"/>
        <color rgb="FF63BE7B"/>
      </colorScale>
    </cfRule>
  </conditionalFormatting>
  <conditionalFormatting sqref="C97:G97 I97:L97">
    <cfRule type="iconSet" priority="10">
      <iconSet iconSet="3Flags">
        <cfvo type="percent" val="0"/>
        <cfvo type="percent" val="33"/>
        <cfvo type="percent" val="67"/>
      </iconSet>
    </cfRule>
    <cfRule type="containsText" dxfId="33" priority="11" operator="containsText" text="Conferido!">
      <formula>NOT(ISERROR(SEARCH("Conferido!",C97)))</formula>
    </cfRule>
  </conditionalFormatting>
  <conditionalFormatting sqref="C36:L41 H42:H43">
    <cfRule type="colorScale" priority="8">
      <colorScale>
        <cfvo type="min"/>
        <cfvo type="percentile" val="50"/>
        <cfvo type="max"/>
        <color rgb="FF5A8AC6"/>
        <color rgb="FFFCFCFF"/>
        <color rgb="FFF8696B"/>
      </colorScale>
    </cfRule>
  </conditionalFormatting>
  <conditionalFormatting sqref="C44:L46">
    <cfRule type="colorScale" priority="4">
      <colorScale>
        <cfvo type="min"/>
        <cfvo type="percentile" val="50"/>
        <cfvo type="max"/>
        <color rgb="FF63BE7B"/>
        <color rgb="FFFFEB84"/>
        <color rgb="FFF8696B"/>
      </colorScale>
    </cfRule>
  </conditionalFormatting>
  <conditionalFormatting sqref="C44:L47">
    <cfRule type="colorScale" priority="3">
      <colorScale>
        <cfvo type="min"/>
        <cfvo type="percentile" val="50"/>
        <cfvo type="max"/>
        <color rgb="FF5A8AC6"/>
        <color rgb="FFFCFCFF"/>
        <color rgb="FFF8696B"/>
      </colorScale>
    </cfRule>
  </conditionalFormatting>
  <conditionalFormatting sqref="C91:L96 H97:H98">
    <cfRule type="colorScale" priority="7">
      <colorScale>
        <cfvo type="min"/>
        <cfvo type="percentile" val="50"/>
        <cfvo type="max"/>
        <color rgb="FF5A8AC6"/>
        <color rgb="FFFCFCFF"/>
        <color rgb="FFF8696B"/>
      </colorScale>
    </cfRule>
  </conditionalFormatting>
  <conditionalFormatting sqref="C99:L101">
    <cfRule type="colorScale" priority="2">
      <colorScale>
        <cfvo type="min"/>
        <cfvo type="percentile" val="50"/>
        <cfvo type="max"/>
        <color rgb="FF63BE7B"/>
        <color rgb="FFFFEB84"/>
        <color rgb="FFF8696B"/>
      </colorScale>
    </cfRule>
  </conditionalFormatting>
  <conditionalFormatting sqref="C99:L102">
    <cfRule type="colorScale" priority="1">
      <colorScale>
        <cfvo type="min"/>
        <cfvo type="percentile" val="50"/>
        <cfvo type="max"/>
        <color rgb="FF5A8AC6"/>
        <color rgb="FFFCFCFF"/>
        <color rgb="FFF8696B"/>
      </colorScale>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7">
    <outlinePr summaryBelow="0" summaryRight="0"/>
  </sheetPr>
  <dimension ref="A1:AC37"/>
  <sheetViews>
    <sheetView zoomScale="60" zoomScaleNormal="60" workbookViewId="0">
      <pane ySplit="1" topLeftCell="A2" activePane="bottomLeft" state="frozen"/>
      <selection activeCell="K37" sqref="K37"/>
      <selection pane="bottomLeft" activeCell="B31" sqref="B31"/>
    </sheetView>
  </sheetViews>
  <sheetFormatPr defaultColWidth="14.44140625" defaultRowHeight="15.75" customHeight="1" x14ac:dyDescent="0.25"/>
  <cols>
    <col min="1" max="1" width="20.44140625" bestFit="1" customWidth="1"/>
    <col min="2" max="2" width="34.77734375" bestFit="1" customWidth="1"/>
    <col min="3" max="3" width="11" customWidth="1"/>
    <col min="4" max="7" width="10.44140625" customWidth="1"/>
    <col min="8" max="8" width="10.44140625" hidden="1" customWidth="1"/>
    <col min="9" max="19" width="10.44140625" customWidth="1"/>
    <col min="20" max="20" width="10.44140625" hidden="1" customWidth="1"/>
    <col min="21" max="28" width="10.44140625" customWidth="1"/>
    <col min="29" max="29" width="10.44140625" hidden="1" customWidth="1"/>
    <col min="30" max="31" width="10.44140625" customWidth="1"/>
    <col min="32" max="35" width="21.44140625" customWidth="1"/>
  </cols>
  <sheetData>
    <row r="1" spans="1:29" ht="13.2"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ht="13.2" x14ac:dyDescent="0.25">
      <c r="A2" s="2">
        <v>44176.566012094903</v>
      </c>
      <c r="B2" s="1" t="s">
        <v>29</v>
      </c>
      <c r="C2" s="1">
        <v>4</v>
      </c>
      <c r="D2" s="1">
        <v>5</v>
      </c>
      <c r="E2" s="1">
        <v>2</v>
      </c>
      <c r="F2" s="1">
        <v>4</v>
      </c>
      <c r="G2" s="1">
        <v>4</v>
      </c>
      <c r="I2" s="1">
        <v>4</v>
      </c>
      <c r="J2" s="1">
        <v>4</v>
      </c>
      <c r="K2" s="1">
        <v>5</v>
      </c>
      <c r="L2" s="1">
        <v>5</v>
      </c>
      <c r="M2" s="1">
        <v>5</v>
      </c>
      <c r="N2" s="1">
        <v>5</v>
      </c>
      <c r="O2" s="1">
        <v>3</v>
      </c>
      <c r="P2" s="1">
        <v>3</v>
      </c>
      <c r="Q2" s="1">
        <v>5</v>
      </c>
      <c r="R2" s="1">
        <v>5</v>
      </c>
      <c r="S2" s="1">
        <v>5</v>
      </c>
      <c r="U2" s="1">
        <v>4</v>
      </c>
      <c r="V2" s="1">
        <v>5</v>
      </c>
      <c r="W2" s="1">
        <v>3</v>
      </c>
      <c r="X2" s="1">
        <v>4</v>
      </c>
      <c r="Y2" s="1">
        <v>3</v>
      </c>
      <c r="Z2" s="1">
        <v>2</v>
      </c>
      <c r="AA2" s="1">
        <v>4</v>
      </c>
      <c r="AB2" s="1">
        <v>0</v>
      </c>
    </row>
    <row r="3" spans="1:29" ht="13.2" x14ac:dyDescent="0.25">
      <c r="A3" s="2">
        <v>44179.461245868057</v>
      </c>
      <c r="B3" s="1" t="s">
        <v>30</v>
      </c>
      <c r="C3" s="1">
        <v>5</v>
      </c>
      <c r="D3" s="1">
        <v>3</v>
      </c>
      <c r="E3" s="1">
        <v>5</v>
      </c>
      <c r="F3" s="1">
        <v>4</v>
      </c>
      <c r="G3" s="1">
        <v>5</v>
      </c>
      <c r="I3" s="1">
        <v>5</v>
      </c>
      <c r="J3" s="1">
        <v>5</v>
      </c>
      <c r="K3" s="1">
        <v>5</v>
      </c>
      <c r="L3" s="1">
        <v>5</v>
      </c>
      <c r="M3" s="1">
        <v>5</v>
      </c>
      <c r="N3" s="1">
        <v>5</v>
      </c>
      <c r="O3" s="1">
        <v>5</v>
      </c>
      <c r="P3" s="1">
        <v>3</v>
      </c>
      <c r="Q3" s="1">
        <v>5</v>
      </c>
      <c r="R3" s="1">
        <v>5</v>
      </c>
      <c r="S3" s="1">
        <v>5</v>
      </c>
      <c r="U3" s="1">
        <v>5</v>
      </c>
      <c r="V3" s="1">
        <v>5</v>
      </c>
      <c r="W3" s="1">
        <v>5</v>
      </c>
      <c r="X3" s="1">
        <v>3</v>
      </c>
      <c r="Y3" s="1">
        <v>4</v>
      </c>
      <c r="Z3" s="1">
        <v>5</v>
      </c>
      <c r="AA3" s="1">
        <v>5</v>
      </c>
      <c r="AB3" s="1">
        <v>5</v>
      </c>
    </row>
    <row r="4" spans="1:29" ht="13.2" x14ac:dyDescent="0.25">
      <c r="A4" s="2">
        <v>44182.399998298613</v>
      </c>
      <c r="B4" s="1" t="s">
        <v>30</v>
      </c>
      <c r="C4" s="1">
        <v>5</v>
      </c>
      <c r="D4" s="1">
        <v>5</v>
      </c>
      <c r="E4" s="1">
        <v>5</v>
      </c>
      <c r="F4" s="1">
        <v>5</v>
      </c>
      <c r="G4" s="1">
        <v>5</v>
      </c>
      <c r="I4" s="1">
        <v>5</v>
      </c>
      <c r="J4" s="1">
        <v>5</v>
      </c>
      <c r="K4" s="1">
        <v>5</v>
      </c>
      <c r="L4" s="1">
        <v>5</v>
      </c>
      <c r="M4" s="1">
        <v>5</v>
      </c>
      <c r="N4" s="1">
        <v>5</v>
      </c>
      <c r="O4" s="1">
        <v>5</v>
      </c>
      <c r="P4" s="1">
        <v>5</v>
      </c>
      <c r="Q4" s="1">
        <v>5</v>
      </c>
      <c r="R4" s="1">
        <v>5</v>
      </c>
      <c r="S4" s="1">
        <v>5</v>
      </c>
      <c r="U4" s="1">
        <v>5</v>
      </c>
      <c r="V4" s="1">
        <v>5</v>
      </c>
      <c r="W4" s="1">
        <v>5</v>
      </c>
      <c r="X4" s="1">
        <v>4</v>
      </c>
      <c r="Y4" s="1">
        <v>5</v>
      </c>
      <c r="Z4" s="1">
        <v>5</v>
      </c>
      <c r="AA4" s="1">
        <v>5</v>
      </c>
      <c r="AB4" s="1">
        <v>4</v>
      </c>
    </row>
    <row r="5" spans="1:29" ht="13.2" x14ac:dyDescent="0.25">
      <c r="A5" s="2">
        <v>44202.591989490742</v>
      </c>
      <c r="B5" s="1" t="s">
        <v>30</v>
      </c>
      <c r="C5" s="1">
        <v>4</v>
      </c>
      <c r="D5" s="1">
        <v>5</v>
      </c>
      <c r="E5" s="1">
        <v>5</v>
      </c>
      <c r="F5" s="1">
        <v>3</v>
      </c>
      <c r="G5" s="1">
        <v>5</v>
      </c>
      <c r="H5" s="1" t="s">
        <v>31</v>
      </c>
      <c r="I5" s="1">
        <v>5</v>
      </c>
      <c r="J5" s="1">
        <v>5</v>
      </c>
      <c r="K5" s="1">
        <v>4</v>
      </c>
      <c r="L5" s="1">
        <v>5</v>
      </c>
      <c r="M5" s="1">
        <v>3</v>
      </c>
      <c r="N5" s="1">
        <v>4</v>
      </c>
      <c r="O5" s="1">
        <v>4</v>
      </c>
      <c r="P5" s="1">
        <v>3</v>
      </c>
      <c r="Q5" s="1">
        <v>4</v>
      </c>
      <c r="R5" s="1">
        <v>2</v>
      </c>
      <c r="S5" s="1">
        <v>4</v>
      </c>
      <c r="U5" s="1">
        <v>4</v>
      </c>
      <c r="V5" s="1">
        <v>5</v>
      </c>
      <c r="W5" s="1">
        <v>5</v>
      </c>
      <c r="X5" s="1">
        <v>2</v>
      </c>
      <c r="Y5" s="1">
        <v>4</v>
      </c>
      <c r="Z5" s="1">
        <v>5</v>
      </c>
      <c r="AA5" s="1">
        <v>5</v>
      </c>
      <c r="AB5" s="1">
        <v>5</v>
      </c>
    </row>
    <row r="6" spans="1:29" ht="13.2" x14ac:dyDescent="0.25">
      <c r="A6" s="2">
        <v>44277.717093263884</v>
      </c>
      <c r="B6" s="1" t="s">
        <v>29</v>
      </c>
      <c r="C6" s="1">
        <v>3</v>
      </c>
      <c r="D6" s="1">
        <v>1</v>
      </c>
      <c r="E6" s="1">
        <v>3</v>
      </c>
      <c r="F6" s="1">
        <v>4</v>
      </c>
      <c r="G6" s="1">
        <v>5</v>
      </c>
      <c r="H6" s="1" t="s">
        <v>32</v>
      </c>
      <c r="I6" s="1">
        <v>5</v>
      </c>
      <c r="J6" s="1">
        <v>5</v>
      </c>
      <c r="K6" s="1">
        <v>5</v>
      </c>
      <c r="L6" s="1">
        <v>5</v>
      </c>
      <c r="M6" s="1">
        <v>4</v>
      </c>
      <c r="N6" s="1">
        <v>5</v>
      </c>
      <c r="O6" s="1">
        <v>5</v>
      </c>
      <c r="P6" s="1">
        <v>3</v>
      </c>
      <c r="Q6" s="1">
        <v>5</v>
      </c>
      <c r="R6" s="1">
        <v>5</v>
      </c>
      <c r="S6" s="1">
        <v>5</v>
      </c>
      <c r="U6" s="1">
        <v>0</v>
      </c>
      <c r="V6" s="1">
        <v>0</v>
      </c>
      <c r="W6" s="1">
        <v>0</v>
      </c>
      <c r="X6" s="1">
        <v>0</v>
      </c>
      <c r="Y6" s="1">
        <v>0</v>
      </c>
      <c r="Z6" s="1">
        <v>0</v>
      </c>
      <c r="AA6" s="1">
        <v>0</v>
      </c>
      <c r="AB6" s="1">
        <v>0</v>
      </c>
    </row>
    <row r="19" spans="1:28" ht="15.75" customHeight="1"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ht="15.75" customHeight="1" x14ac:dyDescent="0.25">
      <c r="B20" s="10" t="str">
        <f>'Dashboard-1-AVALIAÇÃO INST.'!$A$21</f>
        <v>5-ÓTIMO</v>
      </c>
      <c r="C20" s="7">
        <f>COUNTIFS(C$2:C$17,5)/$A$33</f>
        <v>0.4</v>
      </c>
      <c r="D20" s="7">
        <f>COUNTIFS(D$2:D$17,5)/$A$33</f>
        <v>0.6</v>
      </c>
      <c r="E20" s="7">
        <f>COUNTIFS(E$2:E$17,5)/$A$33</f>
        <v>0.6</v>
      </c>
      <c r="F20" s="7">
        <f>COUNTIFS(F$2:F$17,5)/$A$33</f>
        <v>0.2</v>
      </c>
      <c r="G20" s="7">
        <f>COUNTIFS(G$2:G$17,5)/$A$33</f>
        <v>0.8</v>
      </c>
      <c r="I20" s="7">
        <f t="shared" ref="I20:S20" si="0">COUNTIFS(I$2:I$17,5)/$A$33</f>
        <v>0.8</v>
      </c>
      <c r="J20" s="7">
        <f t="shared" si="0"/>
        <v>0.8</v>
      </c>
      <c r="K20" s="7">
        <f t="shared" si="0"/>
        <v>0.8</v>
      </c>
      <c r="L20" s="7">
        <f t="shared" si="0"/>
        <v>1</v>
      </c>
      <c r="M20" s="7">
        <f t="shared" si="0"/>
        <v>0.6</v>
      </c>
      <c r="N20" s="7">
        <f t="shared" si="0"/>
        <v>0.8</v>
      </c>
      <c r="O20" s="7">
        <f t="shared" si="0"/>
        <v>0.6</v>
      </c>
      <c r="P20" s="7">
        <f t="shared" si="0"/>
        <v>0.2</v>
      </c>
      <c r="Q20" s="7">
        <f t="shared" si="0"/>
        <v>0.8</v>
      </c>
      <c r="R20" s="7">
        <f t="shared" si="0"/>
        <v>0.8</v>
      </c>
      <c r="S20" s="7">
        <f t="shared" si="0"/>
        <v>0.8</v>
      </c>
      <c r="U20" s="7">
        <f t="shared" ref="U20:AB20" si="1">COUNTIFS(U$2:U$17,5)/$A$33</f>
        <v>0.4</v>
      </c>
      <c r="V20" s="7">
        <f t="shared" si="1"/>
        <v>0.8</v>
      </c>
      <c r="W20" s="7">
        <f t="shared" si="1"/>
        <v>0.6</v>
      </c>
      <c r="X20" s="7">
        <f t="shared" si="1"/>
        <v>0</v>
      </c>
      <c r="Y20" s="7">
        <f t="shared" si="1"/>
        <v>0.2</v>
      </c>
      <c r="Z20" s="7">
        <f t="shared" si="1"/>
        <v>0.6</v>
      </c>
      <c r="AA20" s="7">
        <f t="shared" si="1"/>
        <v>0.6</v>
      </c>
      <c r="AB20" s="7">
        <f t="shared" si="1"/>
        <v>0.4</v>
      </c>
    </row>
    <row r="21" spans="1:28" ht="15.75" customHeight="1" x14ac:dyDescent="0.25">
      <c r="B21" s="10" t="str">
        <f>'Dashboard-1-AVALIAÇÃO INST.'!$A$22</f>
        <v>4-MUITO BOM</v>
      </c>
      <c r="C21" s="7">
        <f>COUNTIFS(C$2:C$17,4)/$A$33</f>
        <v>0.4</v>
      </c>
      <c r="D21" s="7">
        <f>COUNTIFS(D$2:D$17,4)/$A$33</f>
        <v>0</v>
      </c>
      <c r="E21" s="7">
        <f>COUNTIFS(E$2:E$17,4)/$A$33</f>
        <v>0</v>
      </c>
      <c r="F21" s="7">
        <f>COUNTIFS(F$2:F$17,4)/$A$33</f>
        <v>0.6</v>
      </c>
      <c r="G21" s="7">
        <f>COUNTIFS(G$2:G$17,4)/$A$33</f>
        <v>0.2</v>
      </c>
      <c r="I21" s="7">
        <f t="shared" ref="I21:S21" si="2">COUNTIFS(I$2:I$17,4)/$A$33</f>
        <v>0.2</v>
      </c>
      <c r="J21" s="7">
        <f t="shared" si="2"/>
        <v>0.2</v>
      </c>
      <c r="K21" s="7">
        <f t="shared" si="2"/>
        <v>0.2</v>
      </c>
      <c r="L21" s="7">
        <f t="shared" si="2"/>
        <v>0</v>
      </c>
      <c r="M21" s="7">
        <f t="shared" si="2"/>
        <v>0.2</v>
      </c>
      <c r="N21" s="7">
        <f t="shared" si="2"/>
        <v>0.2</v>
      </c>
      <c r="O21" s="7">
        <f t="shared" si="2"/>
        <v>0.2</v>
      </c>
      <c r="P21" s="7">
        <f t="shared" si="2"/>
        <v>0</v>
      </c>
      <c r="Q21" s="7">
        <f t="shared" si="2"/>
        <v>0.2</v>
      </c>
      <c r="R21" s="7">
        <f t="shared" si="2"/>
        <v>0</v>
      </c>
      <c r="S21" s="7">
        <f t="shared" si="2"/>
        <v>0.2</v>
      </c>
      <c r="U21" s="7">
        <f t="shared" ref="U21:AB21" si="3">COUNTIFS(U$2:U$17,4)/$A$33</f>
        <v>0.4</v>
      </c>
      <c r="V21" s="7">
        <f t="shared" si="3"/>
        <v>0</v>
      </c>
      <c r="W21" s="7">
        <f t="shared" si="3"/>
        <v>0</v>
      </c>
      <c r="X21" s="7">
        <f t="shared" si="3"/>
        <v>0.4</v>
      </c>
      <c r="Y21" s="7">
        <f t="shared" si="3"/>
        <v>0.4</v>
      </c>
      <c r="Z21" s="7">
        <f t="shared" si="3"/>
        <v>0</v>
      </c>
      <c r="AA21" s="7">
        <f t="shared" si="3"/>
        <v>0.2</v>
      </c>
      <c r="AB21" s="7">
        <f t="shared" si="3"/>
        <v>0.2</v>
      </c>
    </row>
    <row r="22" spans="1:28" ht="15.75" customHeight="1" x14ac:dyDescent="0.25">
      <c r="B22" s="10" t="str">
        <f>'Dashboard-1-AVALIAÇÃO INST.'!$A$23</f>
        <v>3-BOM</v>
      </c>
      <c r="C22" s="7">
        <f>COUNTIFS(C$2:C$17,3)/$A$33</f>
        <v>0.2</v>
      </c>
      <c r="D22" s="7">
        <f>COUNTIFS(D$2:D$17,3)/$A$33</f>
        <v>0.2</v>
      </c>
      <c r="E22" s="7">
        <f>COUNTIFS(E$2:E$17,3)/$A$33</f>
        <v>0.2</v>
      </c>
      <c r="F22" s="7">
        <f>COUNTIFS(F$2:F$17,3)/$A$33</f>
        <v>0.2</v>
      </c>
      <c r="G22" s="7">
        <f>COUNTIFS(G$2:G$17,3)/$A$33</f>
        <v>0</v>
      </c>
      <c r="I22" s="7">
        <f t="shared" ref="I22:S22" si="4">COUNTIFS(I$2:I$17,3)/$A$33</f>
        <v>0</v>
      </c>
      <c r="J22" s="7">
        <f t="shared" si="4"/>
        <v>0</v>
      </c>
      <c r="K22" s="7">
        <f t="shared" si="4"/>
        <v>0</v>
      </c>
      <c r="L22" s="7">
        <f t="shared" si="4"/>
        <v>0</v>
      </c>
      <c r="M22" s="7">
        <f t="shared" si="4"/>
        <v>0.2</v>
      </c>
      <c r="N22" s="7">
        <f t="shared" si="4"/>
        <v>0</v>
      </c>
      <c r="O22" s="7">
        <f t="shared" si="4"/>
        <v>0.2</v>
      </c>
      <c r="P22" s="7">
        <f t="shared" si="4"/>
        <v>0.8</v>
      </c>
      <c r="Q22" s="7">
        <f t="shared" si="4"/>
        <v>0</v>
      </c>
      <c r="R22" s="7">
        <f t="shared" si="4"/>
        <v>0</v>
      </c>
      <c r="S22" s="7">
        <f t="shared" si="4"/>
        <v>0</v>
      </c>
      <c r="U22" s="7">
        <f t="shared" ref="U22:AB22" si="5">COUNTIFS(U$2:U$17,3)/$A$33</f>
        <v>0</v>
      </c>
      <c r="V22" s="7">
        <f t="shared" si="5"/>
        <v>0</v>
      </c>
      <c r="W22" s="7">
        <f t="shared" si="5"/>
        <v>0.2</v>
      </c>
      <c r="X22" s="7">
        <f t="shared" si="5"/>
        <v>0.2</v>
      </c>
      <c r="Y22" s="7">
        <f t="shared" si="5"/>
        <v>0.2</v>
      </c>
      <c r="Z22" s="7">
        <f t="shared" si="5"/>
        <v>0</v>
      </c>
      <c r="AA22" s="7">
        <f t="shared" si="5"/>
        <v>0</v>
      </c>
      <c r="AB22" s="7">
        <f t="shared" si="5"/>
        <v>0</v>
      </c>
    </row>
    <row r="23" spans="1:28" ht="15.75" customHeight="1" x14ac:dyDescent="0.25">
      <c r="B23" s="10" t="str">
        <f>'Dashboard-1-AVALIAÇÃO INST.'!$A$24</f>
        <v>2-REGULAR</v>
      </c>
      <c r="C23" s="7">
        <f>COUNTIFS(C$2:C$17,2)/$A$33</f>
        <v>0</v>
      </c>
      <c r="D23" s="7">
        <f>COUNTIFS(D$2:D$17,2)/$A$33</f>
        <v>0</v>
      </c>
      <c r="E23" s="7">
        <f>COUNTIFS(E$2:E$17,2)/$A$33</f>
        <v>0.2</v>
      </c>
      <c r="F23" s="7">
        <f>COUNTIFS(F$2:F$17,2)/$A$33</f>
        <v>0</v>
      </c>
      <c r="G23" s="7">
        <f>COUNTIFS(G$2:G$17,2)/$A$33</f>
        <v>0</v>
      </c>
      <c r="I23" s="7">
        <f t="shared" ref="I23:S23" si="6">COUNTIFS(I$2:I$17,2)/$A$33</f>
        <v>0</v>
      </c>
      <c r="J23" s="7">
        <f t="shared" si="6"/>
        <v>0</v>
      </c>
      <c r="K23" s="7">
        <f t="shared" si="6"/>
        <v>0</v>
      </c>
      <c r="L23" s="7">
        <f t="shared" si="6"/>
        <v>0</v>
      </c>
      <c r="M23" s="7">
        <f t="shared" si="6"/>
        <v>0</v>
      </c>
      <c r="N23" s="7">
        <f t="shared" si="6"/>
        <v>0</v>
      </c>
      <c r="O23" s="7">
        <f t="shared" si="6"/>
        <v>0</v>
      </c>
      <c r="P23" s="7">
        <f t="shared" si="6"/>
        <v>0</v>
      </c>
      <c r="Q23" s="7">
        <f t="shared" si="6"/>
        <v>0</v>
      </c>
      <c r="R23" s="7">
        <f t="shared" si="6"/>
        <v>0.2</v>
      </c>
      <c r="S23" s="7">
        <f t="shared" si="6"/>
        <v>0</v>
      </c>
      <c r="U23" s="7">
        <f t="shared" ref="U23:AB23" si="7">COUNTIFS(U$2:U$17,2)/$A$33</f>
        <v>0</v>
      </c>
      <c r="V23" s="7">
        <f t="shared" si="7"/>
        <v>0</v>
      </c>
      <c r="W23" s="7">
        <f t="shared" si="7"/>
        <v>0</v>
      </c>
      <c r="X23" s="7">
        <f t="shared" si="7"/>
        <v>0.2</v>
      </c>
      <c r="Y23" s="7">
        <f t="shared" si="7"/>
        <v>0</v>
      </c>
      <c r="Z23" s="7">
        <f t="shared" si="7"/>
        <v>0.2</v>
      </c>
      <c r="AA23" s="7">
        <f t="shared" si="7"/>
        <v>0</v>
      </c>
      <c r="AB23" s="7">
        <f t="shared" si="7"/>
        <v>0</v>
      </c>
    </row>
    <row r="24" spans="1:28" ht="15.75" customHeight="1" x14ac:dyDescent="0.25">
      <c r="B24" s="10" t="str">
        <f>'Dashboard-1-AVALIAÇÃO INST.'!$A$25</f>
        <v>1-RUIM</v>
      </c>
      <c r="C24" s="7">
        <f>COUNTIFS(C$2:C$17,1)/$A$33</f>
        <v>0</v>
      </c>
      <c r="D24" s="7">
        <f>COUNTIFS(D$2:D$17,1)/$A$33</f>
        <v>0.2</v>
      </c>
      <c r="E24" s="7">
        <f>COUNTIFS(E$2:E$17,1)/$A$33</f>
        <v>0</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0</v>
      </c>
      <c r="Q24" s="7">
        <f t="shared" si="8"/>
        <v>0</v>
      </c>
      <c r="R24" s="7">
        <f t="shared" si="8"/>
        <v>0</v>
      </c>
      <c r="S24" s="7">
        <f t="shared" si="8"/>
        <v>0</v>
      </c>
      <c r="U24" s="7">
        <f t="shared" ref="U24:AB24" si="9">COUNTIFS(U$2:U$17,1)/$A$33</f>
        <v>0</v>
      </c>
      <c r="V24" s="7">
        <f t="shared" si="9"/>
        <v>0</v>
      </c>
      <c r="W24" s="7">
        <f t="shared" si="9"/>
        <v>0</v>
      </c>
      <c r="X24" s="7">
        <f t="shared" si="9"/>
        <v>0</v>
      </c>
      <c r="Y24" s="7">
        <f t="shared" si="9"/>
        <v>0</v>
      </c>
      <c r="Z24" s="7">
        <f t="shared" si="9"/>
        <v>0</v>
      </c>
      <c r="AA24" s="7">
        <f t="shared" si="9"/>
        <v>0</v>
      </c>
      <c r="AB24" s="7">
        <f t="shared" si="9"/>
        <v>0</v>
      </c>
    </row>
    <row r="25" spans="1:28" ht="15.75" customHeight="1" x14ac:dyDescent="0.25">
      <c r="B25" s="10" t="str">
        <f>'Dashboard-1-AVALIAÇÃO INST.'!$A$26</f>
        <v>0-NÃO SE APLICA</v>
      </c>
      <c r="C25" s="7">
        <f>COUNTIFS(C$2:C$17,0)/$A$33</f>
        <v>0</v>
      </c>
      <c r="D25" s="7">
        <f>COUNTIFS(D$2:D$17,0)/$A$33</f>
        <v>0</v>
      </c>
      <c r="E25" s="7">
        <f>COUNTIFS(E$2:E$17,0)/$A$33</f>
        <v>0</v>
      </c>
      <c r="F25" s="7">
        <f>COUNTIFS(F$2:F$17,0)/$A$33</f>
        <v>0</v>
      </c>
      <c r="G25" s="7">
        <f>COUNTIFS(G$2:G$17,0)/$A$33</f>
        <v>0</v>
      </c>
      <c r="I25" s="7">
        <f t="shared" ref="I25:S25" si="10">COUNTIFS(I$2:I$17,0)/$A$33</f>
        <v>0</v>
      </c>
      <c r="J25" s="7">
        <f t="shared" si="10"/>
        <v>0</v>
      </c>
      <c r="K25" s="7">
        <f t="shared" si="10"/>
        <v>0</v>
      </c>
      <c r="L25" s="7">
        <f t="shared" si="10"/>
        <v>0</v>
      </c>
      <c r="M25" s="7">
        <f t="shared" si="10"/>
        <v>0</v>
      </c>
      <c r="N25" s="7">
        <f t="shared" si="10"/>
        <v>0</v>
      </c>
      <c r="O25" s="7">
        <f t="shared" si="10"/>
        <v>0</v>
      </c>
      <c r="P25" s="7">
        <f t="shared" si="10"/>
        <v>0</v>
      </c>
      <c r="Q25" s="7">
        <f t="shared" si="10"/>
        <v>0</v>
      </c>
      <c r="R25" s="7">
        <f t="shared" si="10"/>
        <v>0</v>
      </c>
      <c r="S25" s="7">
        <f t="shared" si="10"/>
        <v>0</v>
      </c>
      <c r="U25" s="7">
        <f t="shared" ref="U25:AB25" si="11">COUNTIFS(U$2:U$17,0)/$A$33</f>
        <v>0.2</v>
      </c>
      <c r="V25" s="7">
        <f t="shared" si="11"/>
        <v>0.2</v>
      </c>
      <c r="W25" s="7">
        <f t="shared" si="11"/>
        <v>0.2</v>
      </c>
      <c r="X25" s="7">
        <f t="shared" si="11"/>
        <v>0.2</v>
      </c>
      <c r="Y25" s="7">
        <f t="shared" si="11"/>
        <v>0.2</v>
      </c>
      <c r="Z25" s="7">
        <f t="shared" si="11"/>
        <v>0.2</v>
      </c>
      <c r="AA25" s="7">
        <f t="shared" si="11"/>
        <v>0.2</v>
      </c>
      <c r="AB25" s="7">
        <f t="shared" si="11"/>
        <v>0.4</v>
      </c>
    </row>
    <row r="26" spans="1:28" ht="15.75" customHeight="1"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5.75" customHeight="1"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75" customHeight="1" x14ac:dyDescent="0.3">
      <c r="B28" s="109" t="str">
        <f>'Dashboard-1-AVALIAÇÃO INST.'!$A$29</f>
        <v>MUITO BOM / ÓTIMO</v>
      </c>
      <c r="C28" s="169">
        <f>C20+C21</f>
        <v>0.8</v>
      </c>
      <c r="D28" s="170">
        <f t="shared" ref="D28:AB28" si="14">D20+D21</f>
        <v>0.6</v>
      </c>
      <c r="E28" s="170">
        <f t="shared" si="14"/>
        <v>0.6</v>
      </c>
      <c r="F28" s="170">
        <f t="shared" si="14"/>
        <v>0.8</v>
      </c>
      <c r="G28" s="170">
        <f t="shared" si="14"/>
        <v>1</v>
      </c>
      <c r="H28" s="170">
        <f t="shared" si="14"/>
        <v>0</v>
      </c>
      <c r="I28" s="170">
        <f t="shared" si="14"/>
        <v>1</v>
      </c>
      <c r="J28" s="170">
        <f t="shared" si="14"/>
        <v>1</v>
      </c>
      <c r="K28" s="170">
        <f t="shared" si="14"/>
        <v>1</v>
      </c>
      <c r="L28" s="170">
        <f t="shared" si="14"/>
        <v>1</v>
      </c>
      <c r="M28" s="170">
        <f t="shared" si="14"/>
        <v>0.8</v>
      </c>
      <c r="N28" s="170">
        <f t="shared" si="14"/>
        <v>1</v>
      </c>
      <c r="O28" s="170">
        <f t="shared" si="14"/>
        <v>0.8</v>
      </c>
      <c r="P28" s="170">
        <f t="shared" si="14"/>
        <v>0.2</v>
      </c>
      <c r="Q28" s="170">
        <f t="shared" si="14"/>
        <v>1</v>
      </c>
      <c r="R28" s="170">
        <f t="shared" si="14"/>
        <v>0.8</v>
      </c>
      <c r="S28" s="170">
        <f t="shared" si="14"/>
        <v>1</v>
      </c>
      <c r="T28" s="170">
        <f t="shared" si="14"/>
        <v>0</v>
      </c>
      <c r="U28" s="170">
        <f t="shared" si="14"/>
        <v>0.8</v>
      </c>
      <c r="V28" s="170">
        <f t="shared" si="14"/>
        <v>0.8</v>
      </c>
      <c r="W28" s="170">
        <f t="shared" si="14"/>
        <v>0.6</v>
      </c>
      <c r="X28" s="170">
        <f t="shared" si="14"/>
        <v>0.4</v>
      </c>
      <c r="Y28" s="170">
        <f t="shared" si="14"/>
        <v>0.60000000000000009</v>
      </c>
      <c r="Z28" s="170">
        <f t="shared" si="14"/>
        <v>0.6</v>
      </c>
      <c r="AA28" s="170">
        <f t="shared" si="14"/>
        <v>0.8</v>
      </c>
      <c r="AB28" s="166">
        <f t="shared" si="14"/>
        <v>0.60000000000000009</v>
      </c>
    </row>
    <row r="29" spans="1:28" ht="15.75" customHeight="1" x14ac:dyDescent="0.3">
      <c r="B29" s="110" t="str">
        <f>'Dashboard-1-AVALIAÇÃO INST.'!$A$30</f>
        <v>BOM</v>
      </c>
      <c r="C29" s="171">
        <f>C22</f>
        <v>0.2</v>
      </c>
      <c r="D29" s="168">
        <f t="shared" ref="D29:AB29" si="15">D22</f>
        <v>0.2</v>
      </c>
      <c r="E29" s="168">
        <f t="shared" si="15"/>
        <v>0.2</v>
      </c>
      <c r="F29" s="168">
        <f t="shared" si="15"/>
        <v>0.2</v>
      </c>
      <c r="G29" s="168">
        <f t="shared" si="15"/>
        <v>0</v>
      </c>
      <c r="H29" s="168">
        <f t="shared" si="15"/>
        <v>0</v>
      </c>
      <c r="I29" s="168">
        <f t="shared" si="15"/>
        <v>0</v>
      </c>
      <c r="J29" s="168">
        <f t="shared" si="15"/>
        <v>0</v>
      </c>
      <c r="K29" s="168">
        <f t="shared" si="15"/>
        <v>0</v>
      </c>
      <c r="L29" s="168">
        <f t="shared" si="15"/>
        <v>0</v>
      </c>
      <c r="M29" s="168">
        <f t="shared" si="15"/>
        <v>0.2</v>
      </c>
      <c r="N29" s="168">
        <f t="shared" si="15"/>
        <v>0</v>
      </c>
      <c r="O29" s="168">
        <f t="shared" si="15"/>
        <v>0.2</v>
      </c>
      <c r="P29" s="168">
        <f t="shared" si="15"/>
        <v>0.8</v>
      </c>
      <c r="Q29" s="168">
        <f t="shared" si="15"/>
        <v>0</v>
      </c>
      <c r="R29" s="168">
        <f t="shared" si="15"/>
        <v>0</v>
      </c>
      <c r="S29" s="168">
        <f t="shared" si="15"/>
        <v>0</v>
      </c>
      <c r="T29" s="168">
        <f t="shared" si="15"/>
        <v>0</v>
      </c>
      <c r="U29" s="168">
        <f t="shared" si="15"/>
        <v>0</v>
      </c>
      <c r="V29" s="168">
        <f t="shared" si="15"/>
        <v>0</v>
      </c>
      <c r="W29" s="168">
        <f t="shared" si="15"/>
        <v>0.2</v>
      </c>
      <c r="X29" s="168">
        <f t="shared" si="15"/>
        <v>0.2</v>
      </c>
      <c r="Y29" s="168">
        <f t="shared" si="15"/>
        <v>0.2</v>
      </c>
      <c r="Z29" s="168">
        <f t="shared" si="15"/>
        <v>0</v>
      </c>
      <c r="AA29" s="168">
        <f t="shared" si="15"/>
        <v>0</v>
      </c>
      <c r="AB29" s="167">
        <f t="shared" si="15"/>
        <v>0</v>
      </c>
    </row>
    <row r="30" spans="1:28" ht="15.75" customHeight="1" x14ac:dyDescent="0.3">
      <c r="B30" s="110" t="str">
        <f>'Dashboard-1-AVALIAÇÃO INST.'!$A$31</f>
        <v>RUIM / REGULAR</v>
      </c>
      <c r="C30" s="171">
        <f>C23+C24</f>
        <v>0</v>
      </c>
      <c r="D30" s="168">
        <f t="shared" ref="D30:AB30" si="16">D23+D24</f>
        <v>0.2</v>
      </c>
      <c r="E30" s="168">
        <f t="shared" si="16"/>
        <v>0.2</v>
      </c>
      <c r="F30" s="168">
        <f t="shared" si="16"/>
        <v>0</v>
      </c>
      <c r="G30" s="168">
        <f t="shared" si="16"/>
        <v>0</v>
      </c>
      <c r="H30" s="168">
        <f t="shared" si="16"/>
        <v>0</v>
      </c>
      <c r="I30" s="168">
        <f t="shared" si="16"/>
        <v>0</v>
      </c>
      <c r="J30" s="168">
        <f t="shared" si="16"/>
        <v>0</v>
      </c>
      <c r="K30" s="168">
        <f t="shared" si="16"/>
        <v>0</v>
      </c>
      <c r="L30" s="168">
        <f t="shared" si="16"/>
        <v>0</v>
      </c>
      <c r="M30" s="168">
        <f t="shared" si="16"/>
        <v>0</v>
      </c>
      <c r="N30" s="168">
        <f t="shared" si="16"/>
        <v>0</v>
      </c>
      <c r="O30" s="168">
        <f t="shared" si="16"/>
        <v>0</v>
      </c>
      <c r="P30" s="168">
        <f t="shared" si="16"/>
        <v>0</v>
      </c>
      <c r="Q30" s="168">
        <f t="shared" si="16"/>
        <v>0</v>
      </c>
      <c r="R30" s="168">
        <f t="shared" si="16"/>
        <v>0.2</v>
      </c>
      <c r="S30" s="168">
        <f t="shared" si="16"/>
        <v>0</v>
      </c>
      <c r="T30" s="168">
        <f t="shared" si="16"/>
        <v>0</v>
      </c>
      <c r="U30" s="168">
        <f t="shared" si="16"/>
        <v>0</v>
      </c>
      <c r="V30" s="168">
        <f t="shared" si="16"/>
        <v>0</v>
      </c>
      <c r="W30" s="168">
        <f t="shared" si="16"/>
        <v>0</v>
      </c>
      <c r="X30" s="168">
        <f t="shared" si="16"/>
        <v>0.2</v>
      </c>
      <c r="Y30" s="168">
        <f t="shared" si="16"/>
        <v>0</v>
      </c>
      <c r="Z30" s="168">
        <f t="shared" si="16"/>
        <v>0.2</v>
      </c>
      <c r="AA30" s="168">
        <f t="shared" si="16"/>
        <v>0</v>
      </c>
      <c r="AB30" s="167">
        <f t="shared" si="16"/>
        <v>0</v>
      </c>
    </row>
    <row r="31" spans="1:28" ht="15.75" customHeight="1" x14ac:dyDescent="0.3">
      <c r="B31" s="111" t="str">
        <f>'Dashboard-1-AVALIAÇÃO INST.'!$A$32</f>
        <v>NÃO SE APLICA / NÃO SEI</v>
      </c>
      <c r="C31" s="172">
        <f>C25</f>
        <v>0</v>
      </c>
      <c r="D31" s="173">
        <f t="shared" ref="D31:AB31" si="17">D25</f>
        <v>0</v>
      </c>
      <c r="E31" s="173">
        <f t="shared" si="17"/>
        <v>0</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v>
      </c>
      <c r="P31" s="173">
        <f t="shared" si="17"/>
        <v>0</v>
      </c>
      <c r="Q31" s="173">
        <f t="shared" si="17"/>
        <v>0</v>
      </c>
      <c r="R31" s="173">
        <f t="shared" si="17"/>
        <v>0</v>
      </c>
      <c r="S31" s="173">
        <f t="shared" si="17"/>
        <v>0</v>
      </c>
      <c r="T31" s="173">
        <f t="shared" si="17"/>
        <v>0</v>
      </c>
      <c r="U31" s="173">
        <f t="shared" si="17"/>
        <v>0.2</v>
      </c>
      <c r="V31" s="173">
        <f t="shared" si="17"/>
        <v>0.2</v>
      </c>
      <c r="W31" s="173">
        <f t="shared" si="17"/>
        <v>0.2</v>
      </c>
      <c r="X31" s="173">
        <f t="shared" si="17"/>
        <v>0.2</v>
      </c>
      <c r="Y31" s="173">
        <f t="shared" si="17"/>
        <v>0.2</v>
      </c>
      <c r="Z31" s="173">
        <f t="shared" si="17"/>
        <v>0.2</v>
      </c>
      <c r="AA31" s="173">
        <f t="shared" si="17"/>
        <v>0.2</v>
      </c>
      <c r="AB31" s="174">
        <f t="shared" si="17"/>
        <v>0.4</v>
      </c>
    </row>
    <row r="32" spans="1:28" ht="15.75" customHeight="1" x14ac:dyDescent="0.25">
      <c r="A32" s="5" t="s">
        <v>211</v>
      </c>
      <c r="B32" s="91"/>
      <c r="C32" s="165">
        <f>SUM(C28:C31)</f>
        <v>1</v>
      </c>
      <c r="D32" s="165">
        <f t="shared" ref="D32:AB32" si="18">SUM(D28:D31)</f>
        <v>1</v>
      </c>
      <c r="E32" s="165">
        <f t="shared" si="18"/>
        <v>1</v>
      </c>
      <c r="F32" s="165">
        <f t="shared" si="18"/>
        <v>1</v>
      </c>
      <c r="G32" s="165">
        <f t="shared" si="18"/>
        <v>1</v>
      </c>
      <c r="H32" s="165">
        <f t="shared" si="18"/>
        <v>0</v>
      </c>
      <c r="I32" s="165">
        <f t="shared" si="18"/>
        <v>1</v>
      </c>
      <c r="J32" s="165">
        <f t="shared" si="18"/>
        <v>1</v>
      </c>
      <c r="K32" s="165">
        <f t="shared" si="18"/>
        <v>1</v>
      </c>
      <c r="L32" s="165">
        <f t="shared" si="18"/>
        <v>1</v>
      </c>
      <c r="M32" s="165">
        <f t="shared" si="18"/>
        <v>1</v>
      </c>
      <c r="N32" s="165">
        <f t="shared" si="18"/>
        <v>1</v>
      </c>
      <c r="O32" s="165">
        <f t="shared" si="18"/>
        <v>1</v>
      </c>
      <c r="P32" s="165">
        <f t="shared" si="18"/>
        <v>1</v>
      </c>
      <c r="Q32" s="165">
        <f t="shared" si="18"/>
        <v>1</v>
      </c>
      <c r="R32" s="165">
        <f t="shared" si="18"/>
        <v>1</v>
      </c>
      <c r="S32" s="165">
        <f t="shared" si="18"/>
        <v>1</v>
      </c>
      <c r="T32" s="165">
        <f t="shared" si="18"/>
        <v>0</v>
      </c>
      <c r="U32" s="165">
        <f t="shared" si="18"/>
        <v>1</v>
      </c>
      <c r="V32" s="165">
        <f t="shared" si="18"/>
        <v>1</v>
      </c>
      <c r="W32" s="165">
        <f t="shared" si="18"/>
        <v>1</v>
      </c>
      <c r="X32" s="165">
        <f t="shared" si="18"/>
        <v>1</v>
      </c>
      <c r="Y32" s="165">
        <f t="shared" si="18"/>
        <v>1</v>
      </c>
      <c r="Z32" s="165">
        <f t="shared" si="18"/>
        <v>1</v>
      </c>
      <c r="AA32" s="165">
        <f t="shared" si="18"/>
        <v>1</v>
      </c>
      <c r="AB32" s="165">
        <f t="shared" si="18"/>
        <v>1</v>
      </c>
    </row>
    <row r="33" spans="1:2" ht="15.75" customHeight="1" x14ac:dyDescent="0.25">
      <c r="A33" s="6">
        <f>COUNT(C2:C7)</f>
        <v>5</v>
      </c>
    </row>
    <row r="35" spans="1:2" ht="15.75" customHeight="1" x14ac:dyDescent="0.25">
      <c r="A35" s="55" t="s">
        <v>30</v>
      </c>
      <c r="B35" s="55">
        <f>COUNTIF(B$2:B$7,"DISCENTE")</f>
        <v>3</v>
      </c>
    </row>
    <row r="36" spans="1:2" ht="15.75" customHeight="1" x14ac:dyDescent="0.25">
      <c r="A36" s="55" t="s">
        <v>29</v>
      </c>
      <c r="B36" s="55">
        <f>COUNTIF(B$2:B$7,"DOCENTE")</f>
        <v>2</v>
      </c>
    </row>
    <row r="37" spans="1:2" ht="15.75" customHeight="1" x14ac:dyDescent="0.25">
      <c r="B37" s="56" t="str">
        <f>IF(B35+B36=A33,"Verificado","Erro")</f>
        <v>Verificado</v>
      </c>
    </row>
  </sheetData>
  <sheetProtection algorithmName="SHA-512" hashValue="zGawXfAIqaZnW7ljU4MsftpuPndwTbrA220ygxLpUeBqInncik7uhxYG8HZpZQ8YG6meWqsDOmSNarTdS8v4Fg==" saltValue="qV7SCUFey0xcsd5mQmnKCQ==" spinCount="100000" sheet="1" formatColumns="0" insertColumns="0"/>
  <phoneticPr fontId="7" type="noConversion"/>
  <conditionalFormatting sqref="C20:G25 I20:S25 U20:AB25">
    <cfRule type="colorScale" priority="5">
      <colorScale>
        <cfvo type="min"/>
        <cfvo type="max"/>
        <color rgb="FFFCFCFF"/>
        <color rgb="FF63BE7B"/>
      </colorScale>
    </cfRule>
  </conditionalFormatting>
  <conditionalFormatting sqref="C26:G26">
    <cfRule type="iconSet" priority="11">
      <iconSet iconSet="3Flags">
        <cfvo type="percent" val="0"/>
        <cfvo type="percent" val="33"/>
        <cfvo type="percent" val="67"/>
      </iconSet>
    </cfRule>
    <cfRule type="containsText" dxfId="32" priority="12" operator="containsText" text="Conferido!">
      <formula>NOT(ISERROR(SEARCH("Conferido!",C26)))</formula>
    </cfRule>
  </conditionalFormatting>
  <conditionalFormatting sqref="C20:AB25">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9">
      <iconSet iconSet="3Flags">
        <cfvo type="percent" val="0"/>
        <cfvo type="percent" val="33"/>
        <cfvo type="percent" val="67"/>
      </iconSet>
    </cfRule>
    <cfRule type="containsText" dxfId="31" priority="10" operator="containsText" text="Conferido!">
      <formula>NOT(ISERROR(SEARCH("Conferido!",I26)))</formula>
    </cfRule>
  </conditionalFormatting>
  <conditionalFormatting sqref="U26:AB26">
    <cfRule type="iconSet" priority="7">
      <iconSet iconSet="3Flags">
        <cfvo type="percent" val="0"/>
        <cfvo type="percent" val="33"/>
        <cfvo type="percent" val="67"/>
      </iconSet>
    </cfRule>
    <cfRule type="containsText" dxfId="30" priority="8" operator="containsText" text="Conferido!">
      <formula>NOT(ISERROR(SEARCH("Conferido!",U26)))</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A39DF-98A7-45C5-BDA5-E7CBF7689C97}">
  <sheetPr codeName="Planilha8"/>
  <dimension ref="A1:AC37"/>
  <sheetViews>
    <sheetView zoomScale="60" zoomScaleNormal="60" workbookViewId="0">
      <pane ySplit="1" topLeftCell="A2" activePane="bottomLeft" state="frozen"/>
      <selection activeCell="K37" sqref="K37"/>
      <selection pane="bottomLeft" activeCell="F37" sqref="F37"/>
    </sheetView>
  </sheetViews>
  <sheetFormatPr defaultColWidth="8.77734375" defaultRowHeight="13.2" x14ac:dyDescent="0.25"/>
  <cols>
    <col min="1" max="1" width="20.44140625" bestFit="1" customWidth="1"/>
    <col min="2" max="2" width="54.21875" bestFit="1" customWidth="1"/>
    <col min="3" max="7" width="8.21875" customWidth="1"/>
    <col min="8" max="8" width="8.21875" hidden="1" customWidth="1"/>
    <col min="9" max="19" width="8.21875" customWidth="1"/>
    <col min="20" max="20" width="8.21875" hidden="1" customWidth="1"/>
    <col min="21" max="28" width="8.21875" customWidth="1"/>
    <col min="29" max="29" width="8.21875" hidden="1" customWidth="1"/>
    <col min="30" max="31" width="8.21875"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3">
        <v>44279.963967337964</v>
      </c>
      <c r="B2" s="1" t="s">
        <v>30</v>
      </c>
      <c r="C2" s="1">
        <v>4</v>
      </c>
      <c r="D2" s="1">
        <v>4</v>
      </c>
      <c r="E2" s="1">
        <v>5</v>
      </c>
      <c r="F2" s="1">
        <v>5</v>
      </c>
      <c r="G2" s="1">
        <v>5</v>
      </c>
      <c r="H2" s="1" t="s">
        <v>33</v>
      </c>
      <c r="I2" s="1">
        <v>4</v>
      </c>
      <c r="J2" s="1">
        <v>5</v>
      </c>
      <c r="K2" s="1">
        <v>4</v>
      </c>
      <c r="L2" s="1">
        <v>5</v>
      </c>
      <c r="M2" s="1">
        <v>5</v>
      </c>
      <c r="N2" s="1">
        <v>5</v>
      </c>
      <c r="O2" s="1">
        <v>5</v>
      </c>
      <c r="P2" s="1">
        <v>4</v>
      </c>
      <c r="Q2" s="1">
        <v>5</v>
      </c>
      <c r="R2" s="1">
        <v>0</v>
      </c>
      <c r="S2" s="1">
        <v>4</v>
      </c>
      <c r="T2" s="1"/>
      <c r="U2" s="1">
        <v>4</v>
      </c>
      <c r="V2" s="1">
        <v>5</v>
      </c>
      <c r="W2" s="1">
        <v>5</v>
      </c>
      <c r="X2" s="1">
        <v>2</v>
      </c>
      <c r="Y2" s="1">
        <v>5</v>
      </c>
      <c r="Z2" s="1">
        <v>4</v>
      </c>
      <c r="AA2" s="1">
        <v>0</v>
      </c>
      <c r="AB2" s="1">
        <v>0</v>
      </c>
      <c r="AC2" s="1" t="s">
        <v>34</v>
      </c>
    </row>
    <row r="3" spans="1:29" x14ac:dyDescent="0.25">
      <c r="A3" s="2">
        <v>44179.64387586806</v>
      </c>
      <c r="B3" s="1" t="s">
        <v>30</v>
      </c>
      <c r="C3" s="1">
        <v>5</v>
      </c>
      <c r="D3" s="1">
        <v>5</v>
      </c>
      <c r="E3" s="1">
        <v>5</v>
      </c>
      <c r="F3" s="1">
        <v>5</v>
      </c>
      <c r="G3" s="1">
        <v>5</v>
      </c>
      <c r="I3" s="1">
        <v>5</v>
      </c>
      <c r="J3" s="1">
        <v>5</v>
      </c>
      <c r="K3" s="1">
        <v>5</v>
      </c>
      <c r="L3" s="1">
        <v>5</v>
      </c>
      <c r="M3" s="1">
        <v>5</v>
      </c>
      <c r="N3" s="1">
        <v>5</v>
      </c>
      <c r="O3" s="1">
        <v>5</v>
      </c>
      <c r="P3" s="1">
        <v>5</v>
      </c>
      <c r="Q3" s="1">
        <v>5</v>
      </c>
      <c r="R3" s="1">
        <v>5</v>
      </c>
      <c r="S3" s="1">
        <v>5</v>
      </c>
      <c r="T3" s="1" t="s">
        <v>35</v>
      </c>
      <c r="U3" s="1">
        <v>4</v>
      </c>
      <c r="V3" s="1">
        <v>5</v>
      </c>
      <c r="W3" s="1">
        <v>5</v>
      </c>
      <c r="X3" s="1">
        <v>3</v>
      </c>
      <c r="Y3" s="1">
        <v>4</v>
      </c>
      <c r="Z3" s="1">
        <v>4</v>
      </c>
      <c r="AA3" s="1">
        <v>0</v>
      </c>
      <c r="AB3" s="1">
        <v>0</v>
      </c>
      <c r="AC3" s="1" t="s">
        <v>36</v>
      </c>
    </row>
    <row r="4" spans="1:29" x14ac:dyDescent="0.25">
      <c r="A4" s="2">
        <v>44202.588065509262</v>
      </c>
      <c r="B4" s="1" t="s">
        <v>30</v>
      </c>
      <c r="C4" s="1">
        <v>5</v>
      </c>
      <c r="D4" s="1">
        <v>5</v>
      </c>
      <c r="E4" s="1">
        <v>5</v>
      </c>
      <c r="F4" s="1">
        <v>4</v>
      </c>
      <c r="G4" s="1">
        <v>5</v>
      </c>
      <c r="I4" s="1">
        <v>5</v>
      </c>
      <c r="J4" s="1">
        <v>5</v>
      </c>
      <c r="K4" s="1">
        <v>5</v>
      </c>
      <c r="L4" s="1">
        <v>5</v>
      </c>
      <c r="M4" s="1">
        <v>5</v>
      </c>
      <c r="N4" s="1">
        <v>5</v>
      </c>
      <c r="O4" s="1">
        <v>5</v>
      </c>
      <c r="P4" s="1">
        <v>5</v>
      </c>
      <c r="Q4" s="1">
        <v>5</v>
      </c>
      <c r="R4" s="1">
        <v>5</v>
      </c>
      <c r="S4" s="1">
        <v>5</v>
      </c>
      <c r="U4" s="1">
        <v>4</v>
      </c>
      <c r="V4" s="1">
        <v>5</v>
      </c>
      <c r="W4" s="1">
        <v>5</v>
      </c>
      <c r="X4" s="1">
        <v>0</v>
      </c>
      <c r="Y4" s="1">
        <v>5</v>
      </c>
      <c r="Z4" s="1">
        <v>4</v>
      </c>
      <c r="AA4" s="1">
        <v>5</v>
      </c>
      <c r="AB4" s="1">
        <v>0</v>
      </c>
    </row>
    <row r="5" spans="1:29" x14ac:dyDescent="0.25">
      <c r="A5" s="2">
        <v>44274.479261168977</v>
      </c>
      <c r="B5" s="1" t="s">
        <v>30</v>
      </c>
      <c r="C5" s="1">
        <v>3</v>
      </c>
      <c r="D5" s="1">
        <v>3</v>
      </c>
      <c r="E5" s="1">
        <v>5</v>
      </c>
      <c r="F5" s="1">
        <v>2</v>
      </c>
      <c r="G5" s="1">
        <v>4</v>
      </c>
      <c r="I5" s="1">
        <v>4</v>
      </c>
      <c r="J5" s="1">
        <v>3</v>
      </c>
      <c r="K5" s="1">
        <v>3</v>
      </c>
      <c r="L5" s="1">
        <v>4</v>
      </c>
      <c r="M5" s="1">
        <v>2</v>
      </c>
      <c r="N5" s="1">
        <v>5</v>
      </c>
      <c r="O5" s="1">
        <v>3</v>
      </c>
      <c r="P5" s="1">
        <v>1</v>
      </c>
      <c r="Q5" s="1">
        <v>1</v>
      </c>
      <c r="R5" s="1">
        <v>4</v>
      </c>
      <c r="S5" s="1">
        <v>5</v>
      </c>
      <c r="U5" s="1">
        <v>3</v>
      </c>
      <c r="V5" s="1">
        <v>4</v>
      </c>
      <c r="W5" s="1">
        <v>5</v>
      </c>
      <c r="X5" s="1">
        <v>2</v>
      </c>
      <c r="Y5" s="1">
        <v>0</v>
      </c>
      <c r="Z5" s="1">
        <v>2</v>
      </c>
      <c r="AA5" s="1">
        <v>0</v>
      </c>
      <c r="AB5" s="1">
        <v>0</v>
      </c>
    </row>
    <row r="6" spans="1:29" ht="15.75" customHeight="1" x14ac:dyDescent="0.25"/>
    <row r="7" spans="1:29" ht="15.75" customHeight="1" x14ac:dyDescent="0.25"/>
    <row r="8" spans="1:29" ht="15.75" customHeight="1" x14ac:dyDescent="0.25"/>
    <row r="9" spans="1:29" ht="15.75" customHeight="1" x14ac:dyDescent="0.25"/>
    <row r="10" spans="1:29" ht="15.75" customHeight="1" x14ac:dyDescent="0.25"/>
    <row r="11" spans="1:29" ht="15.75" customHeight="1" x14ac:dyDescent="0.25"/>
    <row r="12" spans="1:29" ht="15.75" customHeight="1" x14ac:dyDescent="0.25"/>
    <row r="13" spans="1:29" ht="15.75" customHeight="1" x14ac:dyDescent="0.25"/>
    <row r="14" spans="1:29" ht="15.75" customHeight="1" x14ac:dyDescent="0.25"/>
    <row r="15" spans="1:29" ht="15.75" customHeight="1" x14ac:dyDescent="0.25"/>
    <row r="19" spans="1:28"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x14ac:dyDescent="0.25">
      <c r="B20" s="10" t="str">
        <f>'Dashboard-1-AVALIAÇÃO INST.'!$A$21</f>
        <v>5-ÓTIMO</v>
      </c>
      <c r="C20" s="7">
        <f>COUNTIFS(C$2:C$17,5)/$A$33</f>
        <v>0.5</v>
      </c>
      <c r="D20" s="7">
        <f>COUNTIFS(D$2:D$17,5)/$A$33</f>
        <v>0.5</v>
      </c>
      <c r="E20" s="7">
        <f>COUNTIFS(E$2:E$17,5)/$A$33</f>
        <v>1</v>
      </c>
      <c r="F20" s="7">
        <f>COUNTIFS(F$2:F$17,5)/$A$33</f>
        <v>0.5</v>
      </c>
      <c r="G20" s="7">
        <f>COUNTIFS(G$2:G$17,5)/$A$33</f>
        <v>0.75</v>
      </c>
      <c r="I20" s="7">
        <f t="shared" ref="I20:S20" si="0">COUNTIFS(I$2:I$17,5)/$A$33</f>
        <v>0.5</v>
      </c>
      <c r="J20" s="7">
        <f t="shared" si="0"/>
        <v>0.75</v>
      </c>
      <c r="K20" s="7">
        <f t="shared" si="0"/>
        <v>0.5</v>
      </c>
      <c r="L20" s="7">
        <f t="shared" si="0"/>
        <v>0.75</v>
      </c>
      <c r="M20" s="7">
        <f t="shared" si="0"/>
        <v>0.75</v>
      </c>
      <c r="N20" s="7">
        <f t="shared" si="0"/>
        <v>1</v>
      </c>
      <c r="O20" s="7">
        <f t="shared" si="0"/>
        <v>0.75</v>
      </c>
      <c r="P20" s="7">
        <f t="shared" si="0"/>
        <v>0.5</v>
      </c>
      <c r="Q20" s="7">
        <f t="shared" si="0"/>
        <v>0.75</v>
      </c>
      <c r="R20" s="7">
        <f t="shared" si="0"/>
        <v>0.5</v>
      </c>
      <c r="S20" s="7">
        <f t="shared" si="0"/>
        <v>0.75</v>
      </c>
      <c r="U20" s="7">
        <f t="shared" ref="U20:AB20" si="1">COUNTIFS(U$2:U$17,5)/$A$33</f>
        <v>0</v>
      </c>
      <c r="V20" s="7">
        <f t="shared" si="1"/>
        <v>0.75</v>
      </c>
      <c r="W20" s="7">
        <f t="shared" si="1"/>
        <v>1</v>
      </c>
      <c r="X20" s="7">
        <f t="shared" si="1"/>
        <v>0</v>
      </c>
      <c r="Y20" s="7">
        <f t="shared" si="1"/>
        <v>0.5</v>
      </c>
      <c r="Z20" s="7">
        <f t="shared" si="1"/>
        <v>0</v>
      </c>
      <c r="AA20" s="7">
        <f t="shared" si="1"/>
        <v>0.25</v>
      </c>
      <c r="AB20" s="7">
        <f t="shared" si="1"/>
        <v>0</v>
      </c>
    </row>
    <row r="21" spans="1:28" x14ac:dyDescent="0.25">
      <c r="B21" s="10" t="str">
        <f>'Dashboard-1-AVALIAÇÃO INST.'!$A$22</f>
        <v>4-MUITO BOM</v>
      </c>
      <c r="C21" s="7">
        <f>COUNTIFS(C$2:C$17,4)/$A$33</f>
        <v>0.25</v>
      </c>
      <c r="D21" s="7">
        <f>COUNTIFS(D$2:D$17,4)/$A$33</f>
        <v>0.25</v>
      </c>
      <c r="E21" s="7">
        <f>COUNTIFS(E$2:E$17,4)/$A$33</f>
        <v>0</v>
      </c>
      <c r="F21" s="7">
        <f>COUNTIFS(F$2:F$17,4)/$A$33</f>
        <v>0.25</v>
      </c>
      <c r="G21" s="7">
        <f>COUNTIFS(G$2:G$17,4)/$A$33</f>
        <v>0.25</v>
      </c>
      <c r="I21" s="7">
        <f t="shared" ref="I21:S21" si="2">COUNTIFS(I$2:I$17,4)/$A$33</f>
        <v>0.5</v>
      </c>
      <c r="J21" s="7">
        <f t="shared" si="2"/>
        <v>0</v>
      </c>
      <c r="K21" s="7">
        <f t="shared" si="2"/>
        <v>0.25</v>
      </c>
      <c r="L21" s="7">
        <f t="shared" si="2"/>
        <v>0.25</v>
      </c>
      <c r="M21" s="7">
        <f t="shared" si="2"/>
        <v>0</v>
      </c>
      <c r="N21" s="7">
        <f t="shared" si="2"/>
        <v>0</v>
      </c>
      <c r="O21" s="7">
        <f t="shared" si="2"/>
        <v>0</v>
      </c>
      <c r="P21" s="7">
        <f t="shared" si="2"/>
        <v>0.25</v>
      </c>
      <c r="Q21" s="7">
        <f t="shared" si="2"/>
        <v>0</v>
      </c>
      <c r="R21" s="7">
        <f t="shared" si="2"/>
        <v>0.25</v>
      </c>
      <c r="S21" s="7">
        <f t="shared" si="2"/>
        <v>0.25</v>
      </c>
      <c r="U21" s="7">
        <f t="shared" ref="U21:AB21" si="3">COUNTIFS(U$2:U$17,4)/$A$33</f>
        <v>0.75</v>
      </c>
      <c r="V21" s="7">
        <f t="shared" si="3"/>
        <v>0.25</v>
      </c>
      <c r="W21" s="7">
        <f t="shared" si="3"/>
        <v>0</v>
      </c>
      <c r="X21" s="7">
        <f t="shared" si="3"/>
        <v>0</v>
      </c>
      <c r="Y21" s="7">
        <f t="shared" si="3"/>
        <v>0.25</v>
      </c>
      <c r="Z21" s="7">
        <f t="shared" si="3"/>
        <v>0.75</v>
      </c>
      <c r="AA21" s="7">
        <f t="shared" si="3"/>
        <v>0</v>
      </c>
      <c r="AB21" s="7">
        <f t="shared" si="3"/>
        <v>0</v>
      </c>
    </row>
    <row r="22" spans="1:28" x14ac:dyDescent="0.25">
      <c r="B22" s="10" t="str">
        <f>'Dashboard-1-AVALIAÇÃO INST.'!$A$23</f>
        <v>3-BOM</v>
      </c>
      <c r="C22" s="7">
        <f>COUNTIFS(C$2:C$17,3)/$A$33</f>
        <v>0.25</v>
      </c>
      <c r="D22" s="7">
        <f>COUNTIFS(D$2:D$17,3)/$A$33</f>
        <v>0.25</v>
      </c>
      <c r="E22" s="7">
        <f>COUNTIFS(E$2:E$17,3)/$A$33</f>
        <v>0</v>
      </c>
      <c r="F22" s="7">
        <f>COUNTIFS(F$2:F$17,3)/$A$33</f>
        <v>0</v>
      </c>
      <c r="G22" s="7">
        <f>COUNTIFS(G$2:G$17,3)/$A$33</f>
        <v>0</v>
      </c>
      <c r="I22" s="7">
        <f t="shared" ref="I22:S22" si="4">COUNTIFS(I$2:I$17,3)/$A$33</f>
        <v>0</v>
      </c>
      <c r="J22" s="7">
        <f t="shared" si="4"/>
        <v>0.25</v>
      </c>
      <c r="K22" s="7">
        <f t="shared" si="4"/>
        <v>0.25</v>
      </c>
      <c r="L22" s="7">
        <f t="shared" si="4"/>
        <v>0</v>
      </c>
      <c r="M22" s="7">
        <f t="shared" si="4"/>
        <v>0</v>
      </c>
      <c r="N22" s="7">
        <f t="shared" si="4"/>
        <v>0</v>
      </c>
      <c r="O22" s="7">
        <f t="shared" si="4"/>
        <v>0.25</v>
      </c>
      <c r="P22" s="7">
        <f t="shared" si="4"/>
        <v>0</v>
      </c>
      <c r="Q22" s="7">
        <f t="shared" si="4"/>
        <v>0</v>
      </c>
      <c r="R22" s="7">
        <f t="shared" si="4"/>
        <v>0</v>
      </c>
      <c r="S22" s="7">
        <f t="shared" si="4"/>
        <v>0</v>
      </c>
      <c r="U22" s="7">
        <f t="shared" ref="U22:AB22" si="5">COUNTIFS(U$2:U$17,3)/$A$33</f>
        <v>0.25</v>
      </c>
      <c r="V22" s="7">
        <f t="shared" si="5"/>
        <v>0</v>
      </c>
      <c r="W22" s="7">
        <f t="shared" si="5"/>
        <v>0</v>
      </c>
      <c r="X22" s="7">
        <f t="shared" si="5"/>
        <v>0.25</v>
      </c>
      <c r="Y22" s="7">
        <f t="shared" si="5"/>
        <v>0</v>
      </c>
      <c r="Z22" s="7">
        <f t="shared" si="5"/>
        <v>0</v>
      </c>
      <c r="AA22" s="7">
        <f t="shared" si="5"/>
        <v>0</v>
      </c>
      <c r="AB22" s="7">
        <f t="shared" si="5"/>
        <v>0</v>
      </c>
    </row>
    <row r="23" spans="1:28" x14ac:dyDescent="0.25">
      <c r="B23" s="10" t="str">
        <f>'Dashboard-1-AVALIAÇÃO INST.'!$A$24</f>
        <v>2-REGULAR</v>
      </c>
      <c r="C23" s="7">
        <f>COUNTIFS(C$2:C$17,2)/$A$33</f>
        <v>0</v>
      </c>
      <c r="D23" s="7">
        <f>COUNTIFS(D$2:D$17,2)/$A$33</f>
        <v>0</v>
      </c>
      <c r="E23" s="7">
        <f>COUNTIFS(E$2:E$17,2)/$A$33</f>
        <v>0</v>
      </c>
      <c r="F23" s="7">
        <f>COUNTIFS(F$2:F$17,2)/$A$33</f>
        <v>0.25</v>
      </c>
      <c r="G23" s="7">
        <f>COUNTIFS(G$2:G$17,2)/$A$33</f>
        <v>0</v>
      </c>
      <c r="I23" s="7">
        <f t="shared" ref="I23:S23" si="6">COUNTIFS(I$2:I$17,2)/$A$33</f>
        <v>0</v>
      </c>
      <c r="J23" s="7">
        <f t="shared" si="6"/>
        <v>0</v>
      </c>
      <c r="K23" s="7">
        <f t="shared" si="6"/>
        <v>0</v>
      </c>
      <c r="L23" s="7">
        <f t="shared" si="6"/>
        <v>0</v>
      </c>
      <c r="M23" s="7">
        <f t="shared" si="6"/>
        <v>0.25</v>
      </c>
      <c r="N23" s="7">
        <f t="shared" si="6"/>
        <v>0</v>
      </c>
      <c r="O23" s="7">
        <f t="shared" si="6"/>
        <v>0</v>
      </c>
      <c r="P23" s="7">
        <f t="shared" si="6"/>
        <v>0</v>
      </c>
      <c r="Q23" s="7">
        <f t="shared" si="6"/>
        <v>0</v>
      </c>
      <c r="R23" s="7">
        <f t="shared" si="6"/>
        <v>0</v>
      </c>
      <c r="S23" s="7">
        <f t="shared" si="6"/>
        <v>0</v>
      </c>
      <c r="U23" s="7">
        <f t="shared" ref="U23:AB23" si="7">COUNTIFS(U$2:U$17,2)/$A$33</f>
        <v>0</v>
      </c>
      <c r="V23" s="7">
        <f t="shared" si="7"/>
        <v>0</v>
      </c>
      <c r="W23" s="7">
        <f t="shared" si="7"/>
        <v>0</v>
      </c>
      <c r="X23" s="7">
        <f t="shared" si="7"/>
        <v>0.5</v>
      </c>
      <c r="Y23" s="7">
        <f t="shared" si="7"/>
        <v>0</v>
      </c>
      <c r="Z23" s="7">
        <f t="shared" si="7"/>
        <v>0.25</v>
      </c>
      <c r="AA23" s="7">
        <f t="shared" si="7"/>
        <v>0</v>
      </c>
      <c r="AB23" s="7">
        <f t="shared" si="7"/>
        <v>0</v>
      </c>
    </row>
    <row r="24" spans="1:28" x14ac:dyDescent="0.25">
      <c r="B24" s="10" t="str">
        <f>'Dashboard-1-AVALIAÇÃO INST.'!$A$25</f>
        <v>1-RUIM</v>
      </c>
      <c r="C24" s="7">
        <f>COUNTIFS(C$2:C$17,1)/$A$33</f>
        <v>0</v>
      </c>
      <c r="D24" s="7">
        <f>COUNTIFS(D$2:D$17,1)/$A$33</f>
        <v>0</v>
      </c>
      <c r="E24" s="7">
        <f>COUNTIFS(E$2:E$17,1)/$A$33</f>
        <v>0</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0.25</v>
      </c>
      <c r="Q24" s="7">
        <f t="shared" si="8"/>
        <v>0.25</v>
      </c>
      <c r="R24" s="7">
        <f t="shared" si="8"/>
        <v>0</v>
      </c>
      <c r="S24" s="7">
        <f t="shared" si="8"/>
        <v>0</v>
      </c>
      <c r="U24" s="7">
        <f t="shared" ref="U24:AB24" si="9">COUNTIFS(U$2:U$17,1)/$A$33</f>
        <v>0</v>
      </c>
      <c r="V24" s="7">
        <f t="shared" si="9"/>
        <v>0</v>
      </c>
      <c r="W24" s="7">
        <f t="shared" si="9"/>
        <v>0</v>
      </c>
      <c r="X24" s="7">
        <f t="shared" si="9"/>
        <v>0</v>
      </c>
      <c r="Y24" s="7">
        <f t="shared" si="9"/>
        <v>0</v>
      </c>
      <c r="Z24" s="7">
        <f t="shared" si="9"/>
        <v>0</v>
      </c>
      <c r="AA24" s="7">
        <f t="shared" si="9"/>
        <v>0</v>
      </c>
      <c r="AB24" s="7">
        <f t="shared" si="9"/>
        <v>0</v>
      </c>
    </row>
    <row r="25" spans="1:28" x14ac:dyDescent="0.25">
      <c r="B25" s="10" t="str">
        <f>'Dashboard-1-AVALIAÇÃO INST.'!$A$26</f>
        <v>0-NÃO SE APLICA</v>
      </c>
      <c r="C25" s="7">
        <f>COUNTIFS(C$2:C$17,0)/$A$33</f>
        <v>0</v>
      </c>
      <c r="D25" s="7">
        <f>COUNTIFS(D$2:D$17,0)/$A$33</f>
        <v>0</v>
      </c>
      <c r="E25" s="7">
        <f>COUNTIFS(E$2:E$17,0)/$A$33</f>
        <v>0</v>
      </c>
      <c r="F25" s="7">
        <f>COUNTIFS(F$2:F$17,0)/$A$33</f>
        <v>0</v>
      </c>
      <c r="G25" s="7">
        <f>COUNTIFS(G$2:G$17,0)/$A$33</f>
        <v>0</v>
      </c>
      <c r="I25" s="7">
        <f t="shared" ref="I25:S25" si="10">COUNTIFS(I$2:I$17,0)/$A$33</f>
        <v>0</v>
      </c>
      <c r="J25" s="7">
        <f t="shared" si="10"/>
        <v>0</v>
      </c>
      <c r="K25" s="7">
        <f t="shared" si="10"/>
        <v>0</v>
      </c>
      <c r="L25" s="7">
        <f t="shared" si="10"/>
        <v>0</v>
      </c>
      <c r="M25" s="7">
        <f t="shared" si="10"/>
        <v>0</v>
      </c>
      <c r="N25" s="7">
        <f t="shared" si="10"/>
        <v>0</v>
      </c>
      <c r="O25" s="7">
        <f t="shared" si="10"/>
        <v>0</v>
      </c>
      <c r="P25" s="7">
        <f t="shared" si="10"/>
        <v>0</v>
      </c>
      <c r="Q25" s="7">
        <f t="shared" si="10"/>
        <v>0</v>
      </c>
      <c r="R25" s="7">
        <f t="shared" si="10"/>
        <v>0.25</v>
      </c>
      <c r="S25" s="7">
        <f t="shared" si="10"/>
        <v>0</v>
      </c>
      <c r="U25" s="7">
        <f t="shared" ref="U25:AB25" si="11">COUNTIFS(U$2:U$17,0)/$A$33</f>
        <v>0</v>
      </c>
      <c r="V25" s="7">
        <f t="shared" si="11"/>
        <v>0</v>
      </c>
      <c r="W25" s="7">
        <f t="shared" si="11"/>
        <v>0</v>
      </c>
      <c r="X25" s="7">
        <f t="shared" si="11"/>
        <v>0.25</v>
      </c>
      <c r="Y25" s="7">
        <f t="shared" si="11"/>
        <v>0.25</v>
      </c>
      <c r="Z25" s="7">
        <f t="shared" si="11"/>
        <v>0</v>
      </c>
      <c r="AA25" s="7">
        <f t="shared" si="11"/>
        <v>0.75</v>
      </c>
      <c r="AB25" s="7">
        <f t="shared" si="11"/>
        <v>1</v>
      </c>
    </row>
    <row r="26" spans="1:28"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0.75</v>
      </c>
      <c r="D28" s="170">
        <f t="shared" ref="D28:AB28" si="14">D20+D21</f>
        <v>0.75</v>
      </c>
      <c r="E28" s="170">
        <f t="shared" si="14"/>
        <v>1</v>
      </c>
      <c r="F28" s="170">
        <f t="shared" si="14"/>
        <v>0.75</v>
      </c>
      <c r="G28" s="170">
        <f t="shared" si="14"/>
        <v>1</v>
      </c>
      <c r="H28" s="170">
        <f t="shared" si="14"/>
        <v>0</v>
      </c>
      <c r="I28" s="170">
        <f t="shared" si="14"/>
        <v>1</v>
      </c>
      <c r="J28" s="170">
        <f t="shared" si="14"/>
        <v>0.75</v>
      </c>
      <c r="K28" s="170">
        <f t="shared" si="14"/>
        <v>0.75</v>
      </c>
      <c r="L28" s="170">
        <f t="shared" si="14"/>
        <v>1</v>
      </c>
      <c r="M28" s="170">
        <f t="shared" si="14"/>
        <v>0.75</v>
      </c>
      <c r="N28" s="170">
        <f t="shared" si="14"/>
        <v>1</v>
      </c>
      <c r="O28" s="170">
        <f t="shared" si="14"/>
        <v>0.75</v>
      </c>
      <c r="P28" s="170">
        <f t="shared" si="14"/>
        <v>0.75</v>
      </c>
      <c r="Q28" s="170">
        <f t="shared" si="14"/>
        <v>0.75</v>
      </c>
      <c r="R28" s="170">
        <f t="shared" si="14"/>
        <v>0.75</v>
      </c>
      <c r="S28" s="170">
        <f t="shared" si="14"/>
        <v>1</v>
      </c>
      <c r="T28" s="170">
        <f t="shared" si="14"/>
        <v>0</v>
      </c>
      <c r="U28" s="170">
        <f t="shared" si="14"/>
        <v>0.75</v>
      </c>
      <c r="V28" s="170">
        <f t="shared" si="14"/>
        <v>1</v>
      </c>
      <c r="W28" s="170">
        <f t="shared" si="14"/>
        <v>1</v>
      </c>
      <c r="X28" s="170">
        <f t="shared" si="14"/>
        <v>0</v>
      </c>
      <c r="Y28" s="170">
        <f t="shared" si="14"/>
        <v>0.75</v>
      </c>
      <c r="Z28" s="170">
        <f t="shared" si="14"/>
        <v>0.75</v>
      </c>
      <c r="AA28" s="170">
        <f t="shared" si="14"/>
        <v>0.25</v>
      </c>
      <c r="AB28" s="166">
        <f t="shared" si="14"/>
        <v>0</v>
      </c>
    </row>
    <row r="29" spans="1:28" ht="15.6" x14ac:dyDescent="0.3">
      <c r="B29" s="110" t="str">
        <f>'Dashboard-1-AVALIAÇÃO INST.'!$A$30</f>
        <v>BOM</v>
      </c>
      <c r="C29" s="171">
        <f>C22</f>
        <v>0.25</v>
      </c>
      <c r="D29" s="168">
        <f t="shared" ref="D29:AB29" si="15">D22</f>
        <v>0.25</v>
      </c>
      <c r="E29" s="168">
        <f t="shared" si="15"/>
        <v>0</v>
      </c>
      <c r="F29" s="168">
        <f t="shared" si="15"/>
        <v>0</v>
      </c>
      <c r="G29" s="168">
        <f t="shared" si="15"/>
        <v>0</v>
      </c>
      <c r="H29" s="168">
        <f t="shared" si="15"/>
        <v>0</v>
      </c>
      <c r="I29" s="168">
        <f t="shared" si="15"/>
        <v>0</v>
      </c>
      <c r="J29" s="168">
        <f t="shared" si="15"/>
        <v>0.25</v>
      </c>
      <c r="K29" s="168">
        <f t="shared" si="15"/>
        <v>0.25</v>
      </c>
      <c r="L29" s="168">
        <f t="shared" si="15"/>
        <v>0</v>
      </c>
      <c r="M29" s="168">
        <f t="shared" si="15"/>
        <v>0</v>
      </c>
      <c r="N29" s="168">
        <f t="shared" si="15"/>
        <v>0</v>
      </c>
      <c r="O29" s="168">
        <f t="shared" si="15"/>
        <v>0.25</v>
      </c>
      <c r="P29" s="168">
        <f t="shared" si="15"/>
        <v>0</v>
      </c>
      <c r="Q29" s="168">
        <f t="shared" si="15"/>
        <v>0</v>
      </c>
      <c r="R29" s="168">
        <f t="shared" si="15"/>
        <v>0</v>
      </c>
      <c r="S29" s="168">
        <f t="shared" si="15"/>
        <v>0</v>
      </c>
      <c r="T29" s="168">
        <f t="shared" si="15"/>
        <v>0</v>
      </c>
      <c r="U29" s="168">
        <f t="shared" si="15"/>
        <v>0.25</v>
      </c>
      <c r="V29" s="168">
        <f t="shared" si="15"/>
        <v>0</v>
      </c>
      <c r="W29" s="168">
        <f t="shared" si="15"/>
        <v>0</v>
      </c>
      <c r="X29" s="168">
        <f t="shared" si="15"/>
        <v>0.25</v>
      </c>
      <c r="Y29" s="168">
        <f t="shared" si="15"/>
        <v>0</v>
      </c>
      <c r="Z29" s="168">
        <f t="shared" si="15"/>
        <v>0</v>
      </c>
      <c r="AA29" s="168">
        <f t="shared" si="15"/>
        <v>0</v>
      </c>
      <c r="AB29" s="167">
        <f t="shared" si="15"/>
        <v>0</v>
      </c>
    </row>
    <row r="30" spans="1:28" ht="15.6" x14ac:dyDescent="0.3">
      <c r="B30" s="110" t="str">
        <f>'Dashboard-1-AVALIAÇÃO INST.'!$A$31</f>
        <v>RUIM / REGULAR</v>
      </c>
      <c r="C30" s="171">
        <f>C23+C24</f>
        <v>0</v>
      </c>
      <c r="D30" s="168">
        <f t="shared" ref="D30:AB30" si="16">D23+D24</f>
        <v>0</v>
      </c>
      <c r="E30" s="168">
        <f t="shared" si="16"/>
        <v>0</v>
      </c>
      <c r="F30" s="168">
        <f t="shared" si="16"/>
        <v>0.25</v>
      </c>
      <c r="G30" s="168">
        <f t="shared" si="16"/>
        <v>0</v>
      </c>
      <c r="H30" s="168">
        <f t="shared" si="16"/>
        <v>0</v>
      </c>
      <c r="I30" s="168">
        <f t="shared" si="16"/>
        <v>0</v>
      </c>
      <c r="J30" s="168">
        <f t="shared" si="16"/>
        <v>0</v>
      </c>
      <c r="K30" s="168">
        <f t="shared" si="16"/>
        <v>0</v>
      </c>
      <c r="L30" s="168">
        <f t="shared" si="16"/>
        <v>0</v>
      </c>
      <c r="M30" s="168">
        <f t="shared" si="16"/>
        <v>0.25</v>
      </c>
      <c r="N30" s="168">
        <f t="shared" si="16"/>
        <v>0</v>
      </c>
      <c r="O30" s="168">
        <f t="shared" si="16"/>
        <v>0</v>
      </c>
      <c r="P30" s="168">
        <f t="shared" si="16"/>
        <v>0.25</v>
      </c>
      <c r="Q30" s="168">
        <f t="shared" si="16"/>
        <v>0.25</v>
      </c>
      <c r="R30" s="168">
        <f t="shared" si="16"/>
        <v>0</v>
      </c>
      <c r="S30" s="168">
        <f t="shared" si="16"/>
        <v>0</v>
      </c>
      <c r="T30" s="168">
        <f t="shared" si="16"/>
        <v>0</v>
      </c>
      <c r="U30" s="168">
        <f t="shared" si="16"/>
        <v>0</v>
      </c>
      <c r="V30" s="168">
        <f t="shared" si="16"/>
        <v>0</v>
      </c>
      <c r="W30" s="168">
        <f t="shared" si="16"/>
        <v>0</v>
      </c>
      <c r="X30" s="168">
        <f t="shared" si="16"/>
        <v>0.5</v>
      </c>
      <c r="Y30" s="168">
        <f t="shared" si="16"/>
        <v>0</v>
      </c>
      <c r="Z30" s="168">
        <f t="shared" si="16"/>
        <v>0.25</v>
      </c>
      <c r="AA30" s="168">
        <f t="shared" si="16"/>
        <v>0</v>
      </c>
      <c r="AB30" s="167">
        <f t="shared" si="16"/>
        <v>0</v>
      </c>
    </row>
    <row r="31" spans="1:28" ht="15.6" x14ac:dyDescent="0.3">
      <c r="B31" s="111" t="str">
        <f>'Dashboard-1-AVALIAÇÃO INST.'!$A$32</f>
        <v>NÃO SE APLICA / NÃO SEI</v>
      </c>
      <c r="C31" s="172">
        <f>C25</f>
        <v>0</v>
      </c>
      <c r="D31" s="173">
        <f t="shared" ref="D31:AB31" si="17">D25</f>
        <v>0</v>
      </c>
      <c r="E31" s="173">
        <f t="shared" si="17"/>
        <v>0</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v>
      </c>
      <c r="P31" s="173">
        <f t="shared" si="17"/>
        <v>0</v>
      </c>
      <c r="Q31" s="173">
        <f t="shared" si="17"/>
        <v>0</v>
      </c>
      <c r="R31" s="173">
        <f t="shared" si="17"/>
        <v>0.25</v>
      </c>
      <c r="S31" s="173">
        <f t="shared" si="17"/>
        <v>0</v>
      </c>
      <c r="T31" s="173">
        <f t="shared" si="17"/>
        <v>0</v>
      </c>
      <c r="U31" s="173">
        <f t="shared" si="17"/>
        <v>0</v>
      </c>
      <c r="V31" s="173">
        <f t="shared" si="17"/>
        <v>0</v>
      </c>
      <c r="W31" s="173">
        <f t="shared" si="17"/>
        <v>0</v>
      </c>
      <c r="X31" s="173">
        <f t="shared" si="17"/>
        <v>0.25</v>
      </c>
      <c r="Y31" s="173">
        <f t="shared" si="17"/>
        <v>0.25</v>
      </c>
      <c r="Z31" s="173">
        <f t="shared" si="17"/>
        <v>0</v>
      </c>
      <c r="AA31" s="173">
        <f t="shared" si="17"/>
        <v>0.75</v>
      </c>
      <c r="AB31" s="174">
        <f t="shared" si="17"/>
        <v>1</v>
      </c>
    </row>
    <row r="32" spans="1:28" x14ac:dyDescent="0.25">
      <c r="A32" s="5" t="s">
        <v>211</v>
      </c>
      <c r="B32" s="91"/>
      <c r="C32" s="165">
        <f>SUM(C28:C31)</f>
        <v>1</v>
      </c>
      <c r="D32" s="165">
        <f t="shared" ref="D32:AB32" si="18">SUM(D28:D31)</f>
        <v>1</v>
      </c>
      <c r="E32" s="165">
        <f t="shared" si="18"/>
        <v>1</v>
      </c>
      <c r="F32" s="165">
        <f t="shared" si="18"/>
        <v>1</v>
      </c>
      <c r="G32" s="165">
        <f t="shared" si="18"/>
        <v>1</v>
      </c>
      <c r="H32" s="165">
        <f t="shared" si="18"/>
        <v>0</v>
      </c>
      <c r="I32" s="165">
        <f t="shared" si="18"/>
        <v>1</v>
      </c>
      <c r="J32" s="165">
        <f t="shared" si="18"/>
        <v>1</v>
      </c>
      <c r="K32" s="165">
        <f t="shared" si="18"/>
        <v>1</v>
      </c>
      <c r="L32" s="165">
        <f t="shared" si="18"/>
        <v>1</v>
      </c>
      <c r="M32" s="165">
        <f t="shared" si="18"/>
        <v>1</v>
      </c>
      <c r="N32" s="165">
        <f t="shared" si="18"/>
        <v>1</v>
      </c>
      <c r="O32" s="165">
        <f t="shared" si="18"/>
        <v>1</v>
      </c>
      <c r="P32" s="165">
        <f t="shared" si="18"/>
        <v>1</v>
      </c>
      <c r="Q32" s="165">
        <f t="shared" si="18"/>
        <v>1</v>
      </c>
      <c r="R32" s="165">
        <f t="shared" si="18"/>
        <v>1</v>
      </c>
      <c r="S32" s="165">
        <f t="shared" si="18"/>
        <v>1</v>
      </c>
      <c r="T32" s="165">
        <f t="shared" si="18"/>
        <v>0</v>
      </c>
      <c r="U32" s="165">
        <f t="shared" si="18"/>
        <v>1</v>
      </c>
      <c r="V32" s="165">
        <f t="shared" si="18"/>
        <v>1</v>
      </c>
      <c r="W32" s="165">
        <f t="shared" si="18"/>
        <v>1</v>
      </c>
      <c r="X32" s="165">
        <f t="shared" si="18"/>
        <v>1</v>
      </c>
      <c r="Y32" s="165">
        <f t="shared" si="18"/>
        <v>1</v>
      </c>
      <c r="Z32" s="165">
        <f t="shared" si="18"/>
        <v>1</v>
      </c>
      <c r="AA32" s="165">
        <f t="shared" si="18"/>
        <v>1</v>
      </c>
      <c r="AB32" s="165">
        <f t="shared" si="18"/>
        <v>1</v>
      </c>
    </row>
    <row r="33" spans="1:2" x14ac:dyDescent="0.25">
      <c r="A33" s="6">
        <f>COUNT(C2:C7)</f>
        <v>4</v>
      </c>
    </row>
    <row r="35" spans="1:2" x14ac:dyDescent="0.25">
      <c r="A35" s="55" t="s">
        <v>30</v>
      </c>
      <c r="B35" s="55">
        <f>COUNTIF(B$2:B$7,"DISCENTE")</f>
        <v>4</v>
      </c>
    </row>
    <row r="36" spans="1:2" x14ac:dyDescent="0.25">
      <c r="A36" s="55" t="s">
        <v>29</v>
      </c>
      <c r="B36" s="55">
        <f>COUNTIF(B$2:B$7,"DOCENTE")</f>
        <v>0</v>
      </c>
    </row>
    <row r="37" spans="1:2" ht="13.8" x14ac:dyDescent="0.25">
      <c r="B37" s="56" t="str">
        <f>IF(B35+B36=A33,"Verificado","Erro")</f>
        <v>Verificado</v>
      </c>
    </row>
  </sheetData>
  <sheetProtection algorithmName="SHA-512" hashValue="J1xDkZVQyRLstuwX2yjOPTjS7aIv+9sVdwC58tbefYbIlStO4PnRIDYK1DNm1aC6OBTLsBwrqpFrqU/OTcthIA==" saltValue="UkeXcoO37rNOSaIe/kiGMQ==" spinCount="100000" sheet="1" formatColumns="0" formatRows="0" insertColumns="0"/>
  <conditionalFormatting sqref="C20:G25 I20:S25 U20:AB25">
    <cfRule type="colorScale" priority="5">
      <colorScale>
        <cfvo type="min"/>
        <cfvo type="max"/>
        <color rgb="FFFCFCFF"/>
        <color rgb="FF63BE7B"/>
      </colorScale>
    </cfRule>
  </conditionalFormatting>
  <conditionalFormatting sqref="C26:G26">
    <cfRule type="iconSet" priority="10">
      <iconSet iconSet="3Flags">
        <cfvo type="percent" val="0"/>
        <cfvo type="percent" val="33"/>
        <cfvo type="percent" val="67"/>
      </iconSet>
    </cfRule>
    <cfRule type="containsText" dxfId="29" priority="11" operator="containsText" text="Conferido!">
      <formula>NOT(ISERROR(SEARCH("Conferido!",C26)))</formula>
    </cfRule>
  </conditionalFormatting>
  <conditionalFormatting sqref="C20:AB25 H26:H27 T26:T27 T33:T34 H33">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28"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27" priority="7" operator="containsText" text="Conferido!">
      <formula>NOT(ISERROR(SEARCH("Conferido!",U26)))</formula>
    </cfRule>
  </conditionalFormatting>
  <pageMargins left="0.511811024" right="0.511811024" top="0.78740157499999996" bottom="0.78740157499999996" header="0.31496062000000002" footer="0.31496062000000002"/>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D6E8-7740-4B37-8269-C83CBA54F35E}">
  <sheetPr codeName="Planilha9"/>
  <dimension ref="A1:AC37"/>
  <sheetViews>
    <sheetView zoomScale="60" zoomScaleNormal="60" workbookViewId="0">
      <pane ySplit="1" topLeftCell="A2" activePane="bottomLeft" state="frozen"/>
      <selection activeCell="AN69" sqref="AN69"/>
      <selection pane="bottomLeft" activeCell="F34" sqref="F34"/>
    </sheetView>
  </sheetViews>
  <sheetFormatPr defaultColWidth="8.77734375" defaultRowHeight="13.2" x14ac:dyDescent="0.25"/>
  <cols>
    <col min="1" max="1" width="20.44140625" bestFit="1" customWidth="1"/>
    <col min="2" max="2" width="54.21875" bestFit="1" customWidth="1"/>
    <col min="8" max="8" width="0" hidden="1"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44179.637376608793</v>
      </c>
      <c r="B2" s="1" t="s">
        <v>30</v>
      </c>
      <c r="C2" s="1">
        <v>5</v>
      </c>
      <c r="D2" s="1">
        <v>5</v>
      </c>
      <c r="E2" s="1">
        <v>5</v>
      </c>
      <c r="F2" s="1">
        <v>5</v>
      </c>
      <c r="G2" s="1">
        <v>5</v>
      </c>
      <c r="H2" s="1" t="s">
        <v>37</v>
      </c>
      <c r="I2" s="1">
        <v>5</v>
      </c>
      <c r="J2" s="1">
        <v>5</v>
      </c>
      <c r="K2" s="1">
        <v>5</v>
      </c>
      <c r="L2" s="1">
        <v>5</v>
      </c>
      <c r="M2" s="1">
        <v>5</v>
      </c>
      <c r="N2" s="1">
        <v>5</v>
      </c>
      <c r="O2" s="1">
        <v>5</v>
      </c>
      <c r="P2" s="1">
        <v>5</v>
      </c>
      <c r="Q2" s="1">
        <v>5</v>
      </c>
      <c r="R2" s="1">
        <v>5</v>
      </c>
      <c r="S2" s="1">
        <v>5</v>
      </c>
      <c r="U2" s="1">
        <v>4</v>
      </c>
      <c r="V2" s="1">
        <v>5</v>
      </c>
      <c r="W2" s="1">
        <v>5</v>
      </c>
      <c r="X2" s="1">
        <v>3</v>
      </c>
      <c r="Y2" s="1">
        <v>5</v>
      </c>
      <c r="Z2" s="1">
        <v>4</v>
      </c>
      <c r="AA2" s="1">
        <v>0</v>
      </c>
      <c r="AB2" s="1">
        <v>0</v>
      </c>
      <c r="AC2" s="1" t="s">
        <v>38</v>
      </c>
    </row>
    <row r="3" spans="1:29" x14ac:dyDescent="0.25">
      <c r="A3" s="2">
        <v>44274.476782777783</v>
      </c>
      <c r="B3" s="1" t="s">
        <v>29</v>
      </c>
      <c r="C3" s="1">
        <v>4</v>
      </c>
      <c r="D3" s="1">
        <v>4</v>
      </c>
      <c r="E3" s="1">
        <v>0</v>
      </c>
      <c r="F3" s="1">
        <v>5</v>
      </c>
      <c r="G3" s="1">
        <v>5</v>
      </c>
      <c r="I3" s="1">
        <v>5</v>
      </c>
      <c r="J3" s="1">
        <v>5</v>
      </c>
      <c r="K3" s="1">
        <v>5</v>
      </c>
      <c r="L3" s="1">
        <v>5</v>
      </c>
      <c r="M3" s="1">
        <v>5</v>
      </c>
      <c r="N3" s="1">
        <v>5</v>
      </c>
      <c r="O3" s="1">
        <v>5</v>
      </c>
      <c r="P3" s="1">
        <v>5</v>
      </c>
      <c r="Q3" s="1">
        <v>5</v>
      </c>
      <c r="R3" s="1">
        <v>5</v>
      </c>
      <c r="S3" s="1">
        <v>5</v>
      </c>
      <c r="U3" s="1">
        <v>0</v>
      </c>
      <c r="V3" s="1">
        <v>5</v>
      </c>
      <c r="W3" s="1">
        <v>0</v>
      </c>
      <c r="X3" s="1">
        <v>0</v>
      </c>
      <c r="Y3" s="1">
        <v>0</v>
      </c>
      <c r="Z3" s="1">
        <v>0</v>
      </c>
      <c r="AA3" s="1">
        <v>0</v>
      </c>
      <c r="AB3" s="1">
        <v>0</v>
      </c>
    </row>
    <row r="8" spans="1:29" ht="15.75" customHeight="1" x14ac:dyDescent="0.25"/>
    <row r="9" spans="1:29" ht="15.75" customHeight="1" x14ac:dyDescent="0.25"/>
    <row r="10" spans="1:29" ht="15.75" customHeight="1" x14ac:dyDescent="0.25"/>
    <row r="11" spans="1:29" ht="15.75" customHeight="1" x14ac:dyDescent="0.25"/>
    <row r="12" spans="1:29" ht="15.75" customHeight="1" x14ac:dyDescent="0.25"/>
    <row r="13" spans="1:29" ht="15.75" customHeight="1" x14ac:dyDescent="0.25"/>
    <row r="14" spans="1:29" ht="15.75" customHeight="1" x14ac:dyDescent="0.25"/>
    <row r="15" spans="1:29" ht="15.75" customHeight="1" x14ac:dyDescent="0.25"/>
    <row r="19" spans="1:28"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x14ac:dyDescent="0.25">
      <c r="B20" s="10" t="str">
        <f>'Dashboard-1-AVALIAÇÃO INST.'!$A$21</f>
        <v>5-ÓTIMO</v>
      </c>
      <c r="C20" s="7">
        <f>COUNTIFS(C$2:C$17,5)/$A$33</f>
        <v>0.5</v>
      </c>
      <c r="D20" s="7">
        <f>COUNTIFS(D$2:D$17,5)/$A$33</f>
        <v>0.5</v>
      </c>
      <c r="E20" s="7">
        <f>COUNTIFS(E$2:E$17,5)/$A$33</f>
        <v>0.5</v>
      </c>
      <c r="F20" s="7">
        <f>COUNTIFS(F$2:F$17,5)/$A$33</f>
        <v>1</v>
      </c>
      <c r="G20" s="7">
        <f>COUNTIFS(G$2:G$17,5)/$A$33</f>
        <v>1</v>
      </c>
      <c r="I20" s="7">
        <f t="shared" ref="I20:S20" si="0">COUNTIFS(I$2:I$17,5)/$A$33</f>
        <v>1</v>
      </c>
      <c r="J20" s="7">
        <f t="shared" si="0"/>
        <v>1</v>
      </c>
      <c r="K20" s="7">
        <f t="shared" si="0"/>
        <v>1</v>
      </c>
      <c r="L20" s="7">
        <f t="shared" si="0"/>
        <v>1</v>
      </c>
      <c r="M20" s="7">
        <f t="shared" si="0"/>
        <v>1</v>
      </c>
      <c r="N20" s="7">
        <f t="shared" si="0"/>
        <v>1</v>
      </c>
      <c r="O20" s="7">
        <f t="shared" si="0"/>
        <v>1</v>
      </c>
      <c r="P20" s="7">
        <f t="shared" si="0"/>
        <v>1</v>
      </c>
      <c r="Q20" s="7">
        <f t="shared" si="0"/>
        <v>1</v>
      </c>
      <c r="R20" s="7">
        <f t="shared" si="0"/>
        <v>1</v>
      </c>
      <c r="S20" s="7">
        <f t="shared" si="0"/>
        <v>1</v>
      </c>
      <c r="U20" s="7">
        <f t="shared" ref="U20:AB20" si="1">COUNTIFS(U$2:U$17,5)/$A$33</f>
        <v>0</v>
      </c>
      <c r="V20" s="7">
        <f t="shared" si="1"/>
        <v>1</v>
      </c>
      <c r="W20" s="7">
        <f t="shared" si="1"/>
        <v>0.5</v>
      </c>
      <c r="X20" s="7">
        <f t="shared" si="1"/>
        <v>0</v>
      </c>
      <c r="Y20" s="7">
        <f t="shared" si="1"/>
        <v>0.5</v>
      </c>
      <c r="Z20" s="7">
        <f t="shared" si="1"/>
        <v>0</v>
      </c>
      <c r="AA20" s="7">
        <f t="shared" si="1"/>
        <v>0</v>
      </c>
      <c r="AB20" s="7">
        <f t="shared" si="1"/>
        <v>0</v>
      </c>
    </row>
    <row r="21" spans="1:28" x14ac:dyDescent="0.25">
      <c r="B21" s="10" t="str">
        <f>'Dashboard-1-AVALIAÇÃO INST.'!$A$22</f>
        <v>4-MUITO BOM</v>
      </c>
      <c r="C21" s="7">
        <f>COUNTIFS(C$2:C$17,4)/$A$33</f>
        <v>0.5</v>
      </c>
      <c r="D21" s="7">
        <f>COUNTIFS(D$2:D$17,4)/$A$33</f>
        <v>0.5</v>
      </c>
      <c r="E21" s="7">
        <f>COUNTIFS(E$2:E$17,4)/$A$33</f>
        <v>0</v>
      </c>
      <c r="F21" s="7">
        <f>COUNTIFS(F$2:F$17,4)/$A$33</f>
        <v>0</v>
      </c>
      <c r="G21" s="7">
        <f>COUNTIFS(G$2:G$17,4)/$A$33</f>
        <v>0</v>
      </c>
      <c r="I21" s="7">
        <f t="shared" ref="I21:S21" si="2">COUNTIFS(I$2:I$17,4)/$A$33</f>
        <v>0</v>
      </c>
      <c r="J21" s="7">
        <f t="shared" si="2"/>
        <v>0</v>
      </c>
      <c r="K21" s="7">
        <f t="shared" si="2"/>
        <v>0</v>
      </c>
      <c r="L21" s="7">
        <f t="shared" si="2"/>
        <v>0</v>
      </c>
      <c r="M21" s="7">
        <f t="shared" si="2"/>
        <v>0</v>
      </c>
      <c r="N21" s="7">
        <f t="shared" si="2"/>
        <v>0</v>
      </c>
      <c r="O21" s="7">
        <f t="shared" si="2"/>
        <v>0</v>
      </c>
      <c r="P21" s="7">
        <f t="shared" si="2"/>
        <v>0</v>
      </c>
      <c r="Q21" s="7">
        <f t="shared" si="2"/>
        <v>0</v>
      </c>
      <c r="R21" s="7">
        <f t="shared" si="2"/>
        <v>0</v>
      </c>
      <c r="S21" s="7">
        <f t="shared" si="2"/>
        <v>0</v>
      </c>
      <c r="U21" s="7">
        <f t="shared" ref="U21:AB21" si="3">COUNTIFS(U$2:U$17,4)/$A$33</f>
        <v>0.5</v>
      </c>
      <c r="V21" s="7">
        <f t="shared" si="3"/>
        <v>0</v>
      </c>
      <c r="W21" s="7">
        <f t="shared" si="3"/>
        <v>0</v>
      </c>
      <c r="X21" s="7">
        <f t="shared" si="3"/>
        <v>0</v>
      </c>
      <c r="Y21" s="7">
        <f t="shared" si="3"/>
        <v>0</v>
      </c>
      <c r="Z21" s="7">
        <f t="shared" si="3"/>
        <v>0.5</v>
      </c>
      <c r="AA21" s="7">
        <f t="shared" si="3"/>
        <v>0</v>
      </c>
      <c r="AB21" s="7">
        <f t="shared" si="3"/>
        <v>0</v>
      </c>
    </row>
    <row r="22" spans="1:28" x14ac:dyDescent="0.25">
      <c r="B22" s="10" t="str">
        <f>'Dashboard-1-AVALIAÇÃO INST.'!$A$23</f>
        <v>3-BOM</v>
      </c>
      <c r="C22" s="7">
        <f>COUNTIFS(C$2:C$17,3)/$A$33</f>
        <v>0</v>
      </c>
      <c r="D22" s="7">
        <f>COUNTIFS(D$2:D$17,3)/$A$33</f>
        <v>0</v>
      </c>
      <c r="E22" s="7">
        <f>COUNTIFS(E$2:E$17,3)/$A$33</f>
        <v>0</v>
      </c>
      <c r="F22" s="7">
        <f>COUNTIFS(F$2:F$17,3)/$A$33</f>
        <v>0</v>
      </c>
      <c r="G22" s="7">
        <f>COUNTIFS(G$2:G$17,3)/$A$33</f>
        <v>0</v>
      </c>
      <c r="I22" s="7">
        <f t="shared" ref="I22:S22" si="4">COUNTIFS(I$2:I$17,3)/$A$33</f>
        <v>0</v>
      </c>
      <c r="J22" s="7">
        <f t="shared" si="4"/>
        <v>0</v>
      </c>
      <c r="K22" s="7">
        <f t="shared" si="4"/>
        <v>0</v>
      </c>
      <c r="L22" s="7">
        <f t="shared" si="4"/>
        <v>0</v>
      </c>
      <c r="M22" s="7">
        <f t="shared" si="4"/>
        <v>0</v>
      </c>
      <c r="N22" s="7">
        <f t="shared" si="4"/>
        <v>0</v>
      </c>
      <c r="O22" s="7">
        <f t="shared" si="4"/>
        <v>0</v>
      </c>
      <c r="P22" s="7">
        <f t="shared" si="4"/>
        <v>0</v>
      </c>
      <c r="Q22" s="7">
        <f t="shared" si="4"/>
        <v>0</v>
      </c>
      <c r="R22" s="7">
        <f t="shared" si="4"/>
        <v>0</v>
      </c>
      <c r="S22" s="7">
        <f t="shared" si="4"/>
        <v>0</v>
      </c>
      <c r="U22" s="7">
        <f t="shared" ref="U22:AB22" si="5">COUNTIFS(U$2:U$17,3)/$A$33</f>
        <v>0</v>
      </c>
      <c r="V22" s="7">
        <f t="shared" si="5"/>
        <v>0</v>
      </c>
      <c r="W22" s="7">
        <f t="shared" si="5"/>
        <v>0</v>
      </c>
      <c r="X22" s="7">
        <f t="shared" si="5"/>
        <v>0.5</v>
      </c>
      <c r="Y22" s="7">
        <f t="shared" si="5"/>
        <v>0</v>
      </c>
      <c r="Z22" s="7">
        <f t="shared" si="5"/>
        <v>0</v>
      </c>
      <c r="AA22" s="7">
        <f t="shared" si="5"/>
        <v>0</v>
      </c>
      <c r="AB22" s="7">
        <f t="shared" si="5"/>
        <v>0</v>
      </c>
    </row>
    <row r="23" spans="1:28" x14ac:dyDescent="0.25">
      <c r="B23" s="10" t="str">
        <f>'Dashboard-1-AVALIAÇÃO INST.'!$A$24</f>
        <v>2-REGULAR</v>
      </c>
      <c r="C23" s="7">
        <f>COUNTIFS(C$2:C$17,2)/$A$33</f>
        <v>0</v>
      </c>
      <c r="D23" s="7">
        <f>COUNTIFS(D$2:D$17,2)/$A$33</f>
        <v>0</v>
      </c>
      <c r="E23" s="7">
        <f>COUNTIFS(E$2:E$17,2)/$A$33</f>
        <v>0</v>
      </c>
      <c r="F23" s="7">
        <f>COUNTIFS(F$2:F$17,2)/$A$33</f>
        <v>0</v>
      </c>
      <c r="G23" s="7">
        <f>COUNTIFS(G$2:G$17,2)/$A$33</f>
        <v>0</v>
      </c>
      <c r="I23" s="7">
        <f t="shared" ref="I23:S23" si="6">COUNTIFS(I$2:I$17,2)/$A$33</f>
        <v>0</v>
      </c>
      <c r="J23" s="7">
        <f t="shared" si="6"/>
        <v>0</v>
      </c>
      <c r="K23" s="7">
        <f t="shared" si="6"/>
        <v>0</v>
      </c>
      <c r="L23" s="7">
        <f t="shared" si="6"/>
        <v>0</v>
      </c>
      <c r="M23" s="7">
        <f t="shared" si="6"/>
        <v>0</v>
      </c>
      <c r="N23" s="7">
        <f t="shared" si="6"/>
        <v>0</v>
      </c>
      <c r="O23" s="7">
        <f t="shared" si="6"/>
        <v>0</v>
      </c>
      <c r="P23" s="7">
        <f t="shared" si="6"/>
        <v>0</v>
      </c>
      <c r="Q23" s="7">
        <f t="shared" si="6"/>
        <v>0</v>
      </c>
      <c r="R23" s="7">
        <f t="shared" si="6"/>
        <v>0</v>
      </c>
      <c r="S23" s="7">
        <f t="shared" si="6"/>
        <v>0</v>
      </c>
      <c r="U23" s="7">
        <f t="shared" ref="U23:AB23" si="7">COUNTIFS(U$2:U$17,2)/$A$33</f>
        <v>0</v>
      </c>
      <c r="V23" s="7">
        <f t="shared" si="7"/>
        <v>0</v>
      </c>
      <c r="W23" s="7">
        <f t="shared" si="7"/>
        <v>0</v>
      </c>
      <c r="X23" s="7">
        <f t="shared" si="7"/>
        <v>0</v>
      </c>
      <c r="Y23" s="7">
        <f t="shared" si="7"/>
        <v>0</v>
      </c>
      <c r="Z23" s="7">
        <f t="shared" si="7"/>
        <v>0</v>
      </c>
      <c r="AA23" s="7">
        <f t="shared" si="7"/>
        <v>0</v>
      </c>
      <c r="AB23" s="7">
        <f t="shared" si="7"/>
        <v>0</v>
      </c>
    </row>
    <row r="24" spans="1:28" x14ac:dyDescent="0.25">
      <c r="B24" s="10" t="str">
        <f>'Dashboard-1-AVALIAÇÃO INST.'!$A$25</f>
        <v>1-RUIM</v>
      </c>
      <c r="C24" s="7">
        <f>COUNTIFS(C$2:C$17,1)/$A$33</f>
        <v>0</v>
      </c>
      <c r="D24" s="7">
        <f>COUNTIFS(D$2:D$17,1)/$A$33</f>
        <v>0</v>
      </c>
      <c r="E24" s="7">
        <f>COUNTIFS(E$2:E$17,1)/$A$33</f>
        <v>0</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0</v>
      </c>
      <c r="Q24" s="7">
        <f t="shared" si="8"/>
        <v>0</v>
      </c>
      <c r="R24" s="7">
        <f t="shared" si="8"/>
        <v>0</v>
      </c>
      <c r="S24" s="7">
        <f t="shared" si="8"/>
        <v>0</v>
      </c>
      <c r="U24" s="7">
        <f t="shared" ref="U24:AB24" si="9">COUNTIFS(U$2:U$17,1)/$A$33</f>
        <v>0</v>
      </c>
      <c r="V24" s="7">
        <f t="shared" si="9"/>
        <v>0</v>
      </c>
      <c r="W24" s="7">
        <f t="shared" si="9"/>
        <v>0</v>
      </c>
      <c r="X24" s="7">
        <f t="shared" si="9"/>
        <v>0</v>
      </c>
      <c r="Y24" s="7">
        <f t="shared" si="9"/>
        <v>0</v>
      </c>
      <c r="Z24" s="7">
        <f t="shared" si="9"/>
        <v>0</v>
      </c>
      <c r="AA24" s="7">
        <f t="shared" si="9"/>
        <v>0</v>
      </c>
      <c r="AB24" s="7">
        <f t="shared" si="9"/>
        <v>0</v>
      </c>
    </row>
    <row r="25" spans="1:28" x14ac:dyDescent="0.25">
      <c r="B25" s="10" t="str">
        <f>'Dashboard-1-AVALIAÇÃO INST.'!$A$26</f>
        <v>0-NÃO SE APLICA</v>
      </c>
      <c r="C25" s="7">
        <f>COUNTIFS(C$2:C$17,0)/$A$33</f>
        <v>0</v>
      </c>
      <c r="D25" s="7">
        <f>COUNTIFS(D$2:D$17,0)/$A$33</f>
        <v>0</v>
      </c>
      <c r="E25" s="7">
        <f>COUNTIFS(E$2:E$17,0)/$A$33</f>
        <v>0.5</v>
      </c>
      <c r="F25" s="7">
        <f>COUNTIFS(F$2:F$17,0)/$A$33</f>
        <v>0</v>
      </c>
      <c r="G25" s="7">
        <f>COUNTIFS(G$2:G$17,0)/$A$33</f>
        <v>0</v>
      </c>
      <c r="I25" s="7">
        <f t="shared" ref="I25:S25" si="10">COUNTIFS(I$2:I$17,0)/$A$33</f>
        <v>0</v>
      </c>
      <c r="J25" s="7">
        <f t="shared" si="10"/>
        <v>0</v>
      </c>
      <c r="K25" s="7">
        <f t="shared" si="10"/>
        <v>0</v>
      </c>
      <c r="L25" s="7">
        <f t="shared" si="10"/>
        <v>0</v>
      </c>
      <c r="M25" s="7">
        <f t="shared" si="10"/>
        <v>0</v>
      </c>
      <c r="N25" s="7">
        <f t="shared" si="10"/>
        <v>0</v>
      </c>
      <c r="O25" s="7">
        <f t="shared" si="10"/>
        <v>0</v>
      </c>
      <c r="P25" s="7">
        <f t="shared" si="10"/>
        <v>0</v>
      </c>
      <c r="Q25" s="7">
        <f t="shared" si="10"/>
        <v>0</v>
      </c>
      <c r="R25" s="7">
        <f t="shared" si="10"/>
        <v>0</v>
      </c>
      <c r="S25" s="7">
        <f t="shared" si="10"/>
        <v>0</v>
      </c>
      <c r="U25" s="7">
        <f t="shared" ref="U25:AB25" si="11">COUNTIFS(U$2:U$17,0)/$A$33</f>
        <v>0.5</v>
      </c>
      <c r="V25" s="7">
        <f t="shared" si="11"/>
        <v>0</v>
      </c>
      <c r="W25" s="7">
        <f t="shared" si="11"/>
        <v>0.5</v>
      </c>
      <c r="X25" s="7">
        <f t="shared" si="11"/>
        <v>0.5</v>
      </c>
      <c r="Y25" s="7">
        <f t="shared" si="11"/>
        <v>0.5</v>
      </c>
      <c r="Z25" s="7">
        <f t="shared" si="11"/>
        <v>0.5</v>
      </c>
      <c r="AA25" s="7">
        <f t="shared" si="11"/>
        <v>1</v>
      </c>
      <c r="AB25" s="7">
        <f t="shared" si="11"/>
        <v>1</v>
      </c>
    </row>
    <row r="26" spans="1:28"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1</v>
      </c>
      <c r="D28" s="170">
        <f t="shared" ref="D28:AB28" si="14">D20+D21</f>
        <v>1</v>
      </c>
      <c r="E28" s="170">
        <f t="shared" si="14"/>
        <v>0.5</v>
      </c>
      <c r="F28" s="170">
        <f t="shared" si="14"/>
        <v>1</v>
      </c>
      <c r="G28" s="170">
        <f t="shared" si="14"/>
        <v>1</v>
      </c>
      <c r="H28" s="170">
        <f t="shared" si="14"/>
        <v>0</v>
      </c>
      <c r="I28" s="170">
        <f t="shared" si="14"/>
        <v>1</v>
      </c>
      <c r="J28" s="170">
        <f t="shared" si="14"/>
        <v>1</v>
      </c>
      <c r="K28" s="170">
        <f t="shared" si="14"/>
        <v>1</v>
      </c>
      <c r="L28" s="170">
        <f t="shared" si="14"/>
        <v>1</v>
      </c>
      <c r="M28" s="170">
        <f t="shared" si="14"/>
        <v>1</v>
      </c>
      <c r="N28" s="170">
        <f t="shared" si="14"/>
        <v>1</v>
      </c>
      <c r="O28" s="170">
        <f t="shared" si="14"/>
        <v>1</v>
      </c>
      <c r="P28" s="170">
        <f t="shared" si="14"/>
        <v>1</v>
      </c>
      <c r="Q28" s="170">
        <f t="shared" si="14"/>
        <v>1</v>
      </c>
      <c r="R28" s="170">
        <f t="shared" si="14"/>
        <v>1</v>
      </c>
      <c r="S28" s="170">
        <f t="shared" si="14"/>
        <v>1</v>
      </c>
      <c r="T28" s="170">
        <f t="shared" si="14"/>
        <v>0</v>
      </c>
      <c r="U28" s="170">
        <f t="shared" si="14"/>
        <v>0.5</v>
      </c>
      <c r="V28" s="170">
        <f t="shared" si="14"/>
        <v>1</v>
      </c>
      <c r="W28" s="170">
        <f t="shared" si="14"/>
        <v>0.5</v>
      </c>
      <c r="X28" s="170">
        <f t="shared" si="14"/>
        <v>0</v>
      </c>
      <c r="Y28" s="170">
        <f t="shared" si="14"/>
        <v>0.5</v>
      </c>
      <c r="Z28" s="170">
        <f t="shared" si="14"/>
        <v>0.5</v>
      </c>
      <c r="AA28" s="170">
        <f t="shared" si="14"/>
        <v>0</v>
      </c>
      <c r="AB28" s="166">
        <f t="shared" si="14"/>
        <v>0</v>
      </c>
    </row>
    <row r="29" spans="1:28" ht="15.6" x14ac:dyDescent="0.3">
      <c r="B29" s="110" t="str">
        <f>'Dashboard-1-AVALIAÇÃO INST.'!$A$30</f>
        <v>BOM</v>
      </c>
      <c r="C29" s="171">
        <f>C22</f>
        <v>0</v>
      </c>
      <c r="D29" s="168">
        <f t="shared" ref="D29:AB29" si="15">D22</f>
        <v>0</v>
      </c>
      <c r="E29" s="168">
        <f t="shared" si="15"/>
        <v>0</v>
      </c>
      <c r="F29" s="168">
        <f t="shared" si="15"/>
        <v>0</v>
      </c>
      <c r="G29" s="168">
        <f t="shared" si="15"/>
        <v>0</v>
      </c>
      <c r="H29" s="168">
        <f t="shared" si="15"/>
        <v>0</v>
      </c>
      <c r="I29" s="168">
        <f t="shared" si="15"/>
        <v>0</v>
      </c>
      <c r="J29" s="168">
        <f t="shared" si="15"/>
        <v>0</v>
      </c>
      <c r="K29" s="168">
        <f t="shared" si="15"/>
        <v>0</v>
      </c>
      <c r="L29" s="168">
        <f t="shared" si="15"/>
        <v>0</v>
      </c>
      <c r="M29" s="168">
        <f t="shared" si="15"/>
        <v>0</v>
      </c>
      <c r="N29" s="168">
        <f t="shared" si="15"/>
        <v>0</v>
      </c>
      <c r="O29" s="168">
        <f t="shared" si="15"/>
        <v>0</v>
      </c>
      <c r="P29" s="168">
        <f t="shared" si="15"/>
        <v>0</v>
      </c>
      <c r="Q29" s="168">
        <f t="shared" si="15"/>
        <v>0</v>
      </c>
      <c r="R29" s="168">
        <f t="shared" si="15"/>
        <v>0</v>
      </c>
      <c r="S29" s="168">
        <f t="shared" si="15"/>
        <v>0</v>
      </c>
      <c r="T29" s="168">
        <f t="shared" si="15"/>
        <v>0</v>
      </c>
      <c r="U29" s="168">
        <f t="shared" si="15"/>
        <v>0</v>
      </c>
      <c r="V29" s="168">
        <f t="shared" si="15"/>
        <v>0</v>
      </c>
      <c r="W29" s="168">
        <f t="shared" si="15"/>
        <v>0</v>
      </c>
      <c r="X29" s="168">
        <f t="shared" si="15"/>
        <v>0.5</v>
      </c>
      <c r="Y29" s="168">
        <f t="shared" si="15"/>
        <v>0</v>
      </c>
      <c r="Z29" s="168">
        <f t="shared" si="15"/>
        <v>0</v>
      </c>
      <c r="AA29" s="168">
        <f t="shared" si="15"/>
        <v>0</v>
      </c>
      <c r="AB29" s="167">
        <f t="shared" si="15"/>
        <v>0</v>
      </c>
    </row>
    <row r="30" spans="1:28" ht="15.6" x14ac:dyDescent="0.3">
      <c r="B30" s="110" t="str">
        <f>'Dashboard-1-AVALIAÇÃO INST.'!$A$31</f>
        <v>RUIM / REGULAR</v>
      </c>
      <c r="C30" s="171">
        <f>C23+C24</f>
        <v>0</v>
      </c>
      <c r="D30" s="168">
        <f t="shared" ref="D30:AB30" si="16">D23+D24</f>
        <v>0</v>
      </c>
      <c r="E30" s="168">
        <f t="shared" si="16"/>
        <v>0</v>
      </c>
      <c r="F30" s="168">
        <f t="shared" si="16"/>
        <v>0</v>
      </c>
      <c r="G30" s="168">
        <f t="shared" si="16"/>
        <v>0</v>
      </c>
      <c r="H30" s="168">
        <f t="shared" si="16"/>
        <v>0</v>
      </c>
      <c r="I30" s="168">
        <f t="shared" si="16"/>
        <v>0</v>
      </c>
      <c r="J30" s="168">
        <f t="shared" si="16"/>
        <v>0</v>
      </c>
      <c r="K30" s="168">
        <f t="shared" si="16"/>
        <v>0</v>
      </c>
      <c r="L30" s="168">
        <f t="shared" si="16"/>
        <v>0</v>
      </c>
      <c r="M30" s="168">
        <f t="shared" si="16"/>
        <v>0</v>
      </c>
      <c r="N30" s="168">
        <f t="shared" si="16"/>
        <v>0</v>
      </c>
      <c r="O30" s="168">
        <f t="shared" si="16"/>
        <v>0</v>
      </c>
      <c r="P30" s="168">
        <f t="shared" si="16"/>
        <v>0</v>
      </c>
      <c r="Q30" s="168">
        <f t="shared" si="16"/>
        <v>0</v>
      </c>
      <c r="R30" s="168">
        <f t="shared" si="16"/>
        <v>0</v>
      </c>
      <c r="S30" s="168">
        <f t="shared" si="16"/>
        <v>0</v>
      </c>
      <c r="T30" s="168">
        <f t="shared" si="16"/>
        <v>0</v>
      </c>
      <c r="U30" s="168">
        <f t="shared" si="16"/>
        <v>0</v>
      </c>
      <c r="V30" s="168">
        <f t="shared" si="16"/>
        <v>0</v>
      </c>
      <c r="W30" s="168">
        <f t="shared" si="16"/>
        <v>0</v>
      </c>
      <c r="X30" s="168">
        <f t="shared" si="16"/>
        <v>0</v>
      </c>
      <c r="Y30" s="168">
        <f t="shared" si="16"/>
        <v>0</v>
      </c>
      <c r="Z30" s="168">
        <f t="shared" si="16"/>
        <v>0</v>
      </c>
      <c r="AA30" s="168">
        <f t="shared" si="16"/>
        <v>0</v>
      </c>
      <c r="AB30" s="167">
        <f t="shared" si="16"/>
        <v>0</v>
      </c>
    </row>
    <row r="31" spans="1:28" ht="15.6" x14ac:dyDescent="0.3">
      <c r="B31" s="111" t="str">
        <f>'Dashboard-1-AVALIAÇÃO INST.'!$A$32</f>
        <v>NÃO SE APLICA / NÃO SEI</v>
      </c>
      <c r="C31" s="172">
        <f>C25</f>
        <v>0</v>
      </c>
      <c r="D31" s="173">
        <f t="shared" ref="D31:AB31" si="17">D25</f>
        <v>0</v>
      </c>
      <c r="E31" s="173">
        <f t="shared" si="17"/>
        <v>0.5</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v>
      </c>
      <c r="P31" s="173">
        <f t="shared" si="17"/>
        <v>0</v>
      </c>
      <c r="Q31" s="173">
        <f t="shared" si="17"/>
        <v>0</v>
      </c>
      <c r="R31" s="173">
        <f t="shared" si="17"/>
        <v>0</v>
      </c>
      <c r="S31" s="173">
        <f t="shared" si="17"/>
        <v>0</v>
      </c>
      <c r="T31" s="173">
        <f t="shared" si="17"/>
        <v>0</v>
      </c>
      <c r="U31" s="173">
        <f t="shared" si="17"/>
        <v>0.5</v>
      </c>
      <c r="V31" s="173">
        <f t="shared" si="17"/>
        <v>0</v>
      </c>
      <c r="W31" s="173">
        <f t="shared" si="17"/>
        <v>0.5</v>
      </c>
      <c r="X31" s="173">
        <f t="shared" si="17"/>
        <v>0.5</v>
      </c>
      <c r="Y31" s="173">
        <f t="shared" si="17"/>
        <v>0.5</v>
      </c>
      <c r="Z31" s="173">
        <f t="shared" si="17"/>
        <v>0.5</v>
      </c>
      <c r="AA31" s="173">
        <f t="shared" si="17"/>
        <v>1</v>
      </c>
      <c r="AB31" s="174">
        <f t="shared" si="17"/>
        <v>1</v>
      </c>
    </row>
    <row r="32" spans="1:28" x14ac:dyDescent="0.25">
      <c r="A32" s="5" t="s">
        <v>211</v>
      </c>
      <c r="B32" s="91"/>
      <c r="C32" s="165">
        <f>SUM(C28:C31)</f>
        <v>1</v>
      </c>
      <c r="D32" s="165">
        <f t="shared" ref="D32:AB32" si="18">SUM(D28:D31)</f>
        <v>1</v>
      </c>
      <c r="E32" s="165">
        <f t="shared" si="18"/>
        <v>1</v>
      </c>
      <c r="F32" s="165">
        <f t="shared" si="18"/>
        <v>1</v>
      </c>
      <c r="G32" s="165">
        <f t="shared" si="18"/>
        <v>1</v>
      </c>
      <c r="H32" s="165">
        <f t="shared" si="18"/>
        <v>0</v>
      </c>
      <c r="I32" s="165">
        <f t="shared" si="18"/>
        <v>1</v>
      </c>
      <c r="J32" s="165">
        <f t="shared" si="18"/>
        <v>1</v>
      </c>
      <c r="K32" s="165">
        <f t="shared" si="18"/>
        <v>1</v>
      </c>
      <c r="L32" s="165">
        <f t="shared" si="18"/>
        <v>1</v>
      </c>
      <c r="M32" s="165">
        <f t="shared" si="18"/>
        <v>1</v>
      </c>
      <c r="N32" s="165">
        <f t="shared" si="18"/>
        <v>1</v>
      </c>
      <c r="O32" s="165">
        <f t="shared" si="18"/>
        <v>1</v>
      </c>
      <c r="P32" s="165">
        <f t="shared" si="18"/>
        <v>1</v>
      </c>
      <c r="Q32" s="165">
        <f t="shared" si="18"/>
        <v>1</v>
      </c>
      <c r="R32" s="165">
        <f t="shared" si="18"/>
        <v>1</v>
      </c>
      <c r="S32" s="165">
        <f t="shared" si="18"/>
        <v>1</v>
      </c>
      <c r="T32" s="165">
        <f t="shared" si="18"/>
        <v>0</v>
      </c>
      <c r="U32" s="165">
        <f t="shared" si="18"/>
        <v>1</v>
      </c>
      <c r="V32" s="165">
        <f t="shared" si="18"/>
        <v>1</v>
      </c>
      <c r="W32" s="165">
        <f t="shared" si="18"/>
        <v>1</v>
      </c>
      <c r="X32" s="165">
        <f t="shared" si="18"/>
        <v>1</v>
      </c>
      <c r="Y32" s="165">
        <f t="shared" si="18"/>
        <v>1</v>
      </c>
      <c r="Z32" s="165">
        <f t="shared" si="18"/>
        <v>1</v>
      </c>
      <c r="AA32" s="165">
        <f t="shared" si="18"/>
        <v>1</v>
      </c>
      <c r="AB32" s="165">
        <f t="shared" si="18"/>
        <v>1</v>
      </c>
    </row>
    <row r="33" spans="1:2" x14ac:dyDescent="0.25">
      <c r="A33" s="6">
        <f>COUNT(C2:C7)</f>
        <v>2</v>
      </c>
    </row>
    <row r="35" spans="1:2" x14ac:dyDescent="0.25">
      <c r="A35" s="55" t="s">
        <v>30</v>
      </c>
      <c r="B35" s="55">
        <f>COUNTIF(B$2:B$7,"DISCENTE")</f>
        <v>1</v>
      </c>
    </row>
    <row r="36" spans="1:2" x14ac:dyDescent="0.25">
      <c r="A36" s="55" t="s">
        <v>29</v>
      </c>
      <c r="B36" s="55">
        <f>COUNTIF(B$2:B$7,"DOCENTE")</f>
        <v>1</v>
      </c>
    </row>
    <row r="37" spans="1:2" ht="13.8" x14ac:dyDescent="0.25">
      <c r="B37" s="56" t="str">
        <f>IF(B35+B36=A33,"Verificado","Erro")</f>
        <v>Verificado</v>
      </c>
    </row>
  </sheetData>
  <sheetProtection algorithmName="SHA-512" hashValue="Rv/iGHPo2cK9BL3+sh+BIWc+XcAd30qTQJUm4Puu/Vq4gdv4lNR7eVRze99EV3Dx4ayl8NOnbf+tyl1/HOS5NQ==" saltValue="LpmcSrSVLfwh1pVp3Tkqlg==" spinCount="100000" sheet="1" formatColumns="0" formatRows="0"/>
  <conditionalFormatting sqref="C20:G25 I20:S25 U20:AB25">
    <cfRule type="colorScale" priority="5">
      <colorScale>
        <cfvo type="min"/>
        <cfvo type="max"/>
        <color rgb="FFFCFCFF"/>
        <color rgb="FF63BE7B"/>
      </colorScale>
    </cfRule>
  </conditionalFormatting>
  <conditionalFormatting sqref="C26:G26">
    <cfRule type="iconSet" priority="10">
      <iconSet iconSet="3Flags">
        <cfvo type="percent" val="0"/>
        <cfvo type="percent" val="33"/>
        <cfvo type="percent" val="67"/>
      </iconSet>
    </cfRule>
    <cfRule type="containsText" dxfId="26" priority="11" operator="containsText" text="Conferido!">
      <formula>NOT(ISERROR(SEARCH("Conferido!",C26)))</formula>
    </cfRule>
  </conditionalFormatting>
  <conditionalFormatting sqref="C20:AB25 H26:H27 T26:T27 T33:T34">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25"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24" priority="7" operator="containsText" text="Conferido!">
      <formula>NOT(ISERROR(SEARCH("Conferido!",U26)))</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F36F6-05CC-422A-A518-183EC79EA972}">
  <sheetPr codeName="Planilha10"/>
  <dimension ref="A1:AC37"/>
  <sheetViews>
    <sheetView zoomScale="60" zoomScaleNormal="60" workbookViewId="0">
      <pane ySplit="1" topLeftCell="A2" activePane="bottomLeft" state="frozen"/>
      <selection activeCell="AN69" sqref="AN69"/>
      <selection pane="bottomLeft" activeCell="J34" sqref="J34"/>
    </sheetView>
  </sheetViews>
  <sheetFormatPr defaultColWidth="8.77734375" defaultRowHeight="13.2" x14ac:dyDescent="0.25"/>
  <cols>
    <col min="1" max="1" width="19" bestFit="1" customWidth="1"/>
    <col min="2" max="2" width="54.21875" bestFit="1" customWidth="1"/>
    <col min="8" max="8" width="0" hidden="1" customWidth="1"/>
    <col min="20" max="20" width="0" hidden="1" customWidth="1"/>
    <col min="29" max="29" width="0" hidden="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x14ac:dyDescent="0.25">
      <c r="A2" s="2">
        <v>44176.563973067125</v>
      </c>
      <c r="B2" s="1" t="s">
        <v>30</v>
      </c>
      <c r="C2" s="1">
        <v>4</v>
      </c>
      <c r="D2" s="1">
        <v>5</v>
      </c>
      <c r="E2" s="1">
        <v>5</v>
      </c>
      <c r="F2" s="1">
        <v>5</v>
      </c>
      <c r="G2" s="1">
        <v>5</v>
      </c>
      <c r="H2" s="1" t="s">
        <v>39</v>
      </c>
      <c r="I2" s="1">
        <v>5</v>
      </c>
      <c r="J2" s="1">
        <v>5</v>
      </c>
      <c r="K2" s="1">
        <v>5</v>
      </c>
      <c r="L2" s="1">
        <v>5</v>
      </c>
      <c r="M2" s="1">
        <v>5</v>
      </c>
      <c r="N2" s="1">
        <v>5</v>
      </c>
      <c r="O2" s="1">
        <v>0</v>
      </c>
      <c r="P2" s="1">
        <v>4</v>
      </c>
      <c r="Q2" s="1">
        <v>5</v>
      </c>
      <c r="R2" s="1">
        <v>2</v>
      </c>
      <c r="S2" s="1">
        <v>5</v>
      </c>
      <c r="T2" s="1" t="s">
        <v>40</v>
      </c>
      <c r="U2" s="1">
        <v>5</v>
      </c>
      <c r="V2" s="1">
        <v>5</v>
      </c>
      <c r="W2" s="1">
        <v>5</v>
      </c>
      <c r="X2" s="1">
        <v>2</v>
      </c>
      <c r="Y2" s="1">
        <v>3</v>
      </c>
      <c r="Z2" s="1">
        <v>4</v>
      </c>
      <c r="AA2" s="1">
        <v>5</v>
      </c>
      <c r="AB2" s="1">
        <v>0</v>
      </c>
    </row>
    <row r="3" spans="1:29" x14ac:dyDescent="0.25">
      <c r="A3" s="2">
        <v>44176.657653726856</v>
      </c>
      <c r="B3" s="1" t="s">
        <v>29</v>
      </c>
      <c r="C3" s="1">
        <v>4</v>
      </c>
      <c r="D3" s="1">
        <v>5</v>
      </c>
      <c r="E3" s="1">
        <v>5</v>
      </c>
      <c r="F3" s="1">
        <v>5</v>
      </c>
      <c r="G3" s="1">
        <v>5</v>
      </c>
      <c r="I3" s="1">
        <v>4</v>
      </c>
      <c r="J3" s="1">
        <v>5</v>
      </c>
      <c r="K3" s="1">
        <v>5</v>
      </c>
      <c r="L3" s="1">
        <v>5</v>
      </c>
      <c r="M3" s="1">
        <v>5</v>
      </c>
      <c r="N3" s="1">
        <v>5</v>
      </c>
      <c r="O3" s="1">
        <v>5</v>
      </c>
      <c r="P3" s="1">
        <v>5</v>
      </c>
      <c r="Q3" s="1">
        <v>5</v>
      </c>
      <c r="R3" s="1">
        <v>5</v>
      </c>
      <c r="S3" s="1">
        <v>5</v>
      </c>
      <c r="U3" s="1">
        <v>0</v>
      </c>
      <c r="V3" s="1">
        <v>0</v>
      </c>
      <c r="W3" s="1">
        <v>0</v>
      </c>
      <c r="X3" s="1">
        <v>0</v>
      </c>
      <c r="Y3" s="1">
        <v>0</v>
      </c>
      <c r="Z3" s="1">
        <v>0</v>
      </c>
      <c r="AA3" s="1">
        <v>0</v>
      </c>
      <c r="AB3" s="1">
        <v>0</v>
      </c>
    </row>
    <row r="4" spans="1:29" x14ac:dyDescent="0.25">
      <c r="A4" s="2">
        <v>44176.679414895829</v>
      </c>
      <c r="B4" s="1" t="s">
        <v>30</v>
      </c>
      <c r="C4" s="1">
        <v>4</v>
      </c>
      <c r="D4" s="1">
        <v>4</v>
      </c>
      <c r="E4" s="1">
        <v>3</v>
      </c>
      <c r="F4" s="1">
        <v>4</v>
      </c>
      <c r="G4" s="1">
        <v>4</v>
      </c>
      <c r="I4" s="1">
        <v>2</v>
      </c>
      <c r="J4" s="1">
        <v>4</v>
      </c>
      <c r="K4" s="1">
        <v>4</v>
      </c>
      <c r="L4" s="1">
        <v>4</v>
      </c>
      <c r="M4" s="1">
        <v>5</v>
      </c>
      <c r="N4" s="1">
        <v>5</v>
      </c>
      <c r="O4" s="1">
        <v>4</v>
      </c>
      <c r="P4" s="1">
        <v>3</v>
      </c>
      <c r="Q4" s="1">
        <v>5</v>
      </c>
      <c r="R4" s="1">
        <v>2</v>
      </c>
      <c r="S4" s="1">
        <v>4</v>
      </c>
      <c r="T4" s="1" t="s">
        <v>41</v>
      </c>
      <c r="U4" s="1">
        <v>4</v>
      </c>
      <c r="V4" s="1">
        <v>5</v>
      </c>
      <c r="W4" s="1">
        <v>4</v>
      </c>
      <c r="X4" s="1">
        <v>2</v>
      </c>
      <c r="Y4" s="1">
        <v>4</v>
      </c>
      <c r="Z4" s="1">
        <v>3</v>
      </c>
      <c r="AA4" s="1">
        <v>5</v>
      </c>
      <c r="AB4" s="1">
        <v>0</v>
      </c>
    </row>
    <row r="5" spans="1:29" x14ac:dyDescent="0.25">
      <c r="A5" s="2">
        <v>44182.529059062501</v>
      </c>
      <c r="B5" s="1" t="s">
        <v>30</v>
      </c>
      <c r="C5" s="1">
        <v>5</v>
      </c>
      <c r="D5" s="1">
        <v>5</v>
      </c>
      <c r="E5" s="1">
        <v>5</v>
      </c>
      <c r="F5" s="1">
        <v>5</v>
      </c>
      <c r="G5" s="1">
        <v>5</v>
      </c>
      <c r="H5" s="1" t="s">
        <v>42</v>
      </c>
      <c r="I5" s="1">
        <v>5</v>
      </c>
      <c r="J5" s="1">
        <v>5</v>
      </c>
      <c r="K5" s="1">
        <v>5</v>
      </c>
      <c r="L5" s="1">
        <v>5</v>
      </c>
      <c r="M5" s="1">
        <v>5</v>
      </c>
      <c r="N5" s="1">
        <v>5</v>
      </c>
      <c r="O5" s="1">
        <v>5</v>
      </c>
      <c r="P5" s="1">
        <v>5</v>
      </c>
      <c r="Q5" s="1">
        <v>5</v>
      </c>
      <c r="R5" s="1">
        <v>5</v>
      </c>
      <c r="S5" s="1">
        <v>5</v>
      </c>
      <c r="U5" s="1">
        <v>4</v>
      </c>
      <c r="V5" s="1">
        <v>2</v>
      </c>
      <c r="W5" s="1">
        <v>5</v>
      </c>
      <c r="X5" s="1">
        <v>3</v>
      </c>
      <c r="Y5" s="1">
        <v>3</v>
      </c>
      <c r="Z5" s="1">
        <v>5</v>
      </c>
      <c r="AA5" s="1">
        <v>5</v>
      </c>
      <c r="AB5" s="1">
        <v>2</v>
      </c>
    </row>
    <row r="6" spans="1:29" x14ac:dyDescent="0.25">
      <c r="A6" s="2">
        <v>44274.803844062495</v>
      </c>
      <c r="B6" s="1" t="s">
        <v>30</v>
      </c>
      <c r="C6" s="1">
        <v>5</v>
      </c>
      <c r="D6" s="1">
        <v>5</v>
      </c>
      <c r="E6" s="1">
        <v>5</v>
      </c>
      <c r="F6" s="1">
        <v>5</v>
      </c>
      <c r="G6" s="1">
        <v>5</v>
      </c>
      <c r="H6" s="1" t="s">
        <v>43</v>
      </c>
      <c r="I6" s="1">
        <v>5</v>
      </c>
      <c r="J6" s="1">
        <v>5</v>
      </c>
      <c r="K6" s="1">
        <v>5</v>
      </c>
      <c r="L6" s="1">
        <v>5</v>
      </c>
      <c r="M6" s="1">
        <v>5</v>
      </c>
      <c r="N6" s="1">
        <v>5</v>
      </c>
      <c r="O6" s="1">
        <v>5</v>
      </c>
      <c r="P6" s="1">
        <v>5</v>
      </c>
      <c r="Q6" s="1">
        <v>5</v>
      </c>
      <c r="R6" s="1">
        <v>5</v>
      </c>
      <c r="S6" s="1">
        <v>5</v>
      </c>
      <c r="U6" s="1">
        <v>5</v>
      </c>
      <c r="V6" s="1">
        <v>5</v>
      </c>
      <c r="W6" s="1">
        <v>5</v>
      </c>
      <c r="X6" s="1">
        <v>5</v>
      </c>
      <c r="Y6" s="1">
        <v>5</v>
      </c>
      <c r="Z6" s="1">
        <v>5</v>
      </c>
      <c r="AA6" s="1">
        <v>5</v>
      </c>
      <c r="AB6" s="1">
        <v>5</v>
      </c>
    </row>
    <row r="8" spans="1:29" ht="15.75" customHeight="1" x14ac:dyDescent="0.25"/>
    <row r="9" spans="1:29" ht="15.75" customHeight="1" x14ac:dyDescent="0.25"/>
    <row r="10" spans="1:29" ht="15.75" customHeight="1" x14ac:dyDescent="0.25"/>
    <row r="11" spans="1:29" ht="15.75" customHeight="1" x14ac:dyDescent="0.25"/>
    <row r="12" spans="1:29" ht="15.75" customHeight="1" x14ac:dyDescent="0.25"/>
    <row r="13" spans="1:29" ht="15.75" customHeight="1" x14ac:dyDescent="0.25"/>
    <row r="14" spans="1:29" ht="15.75" customHeight="1" x14ac:dyDescent="0.25"/>
    <row r="15" spans="1:29" ht="15.75" customHeight="1" x14ac:dyDescent="0.25"/>
    <row r="19" spans="1:28" x14ac:dyDescent="0.25">
      <c r="C19" s="9" t="s">
        <v>216</v>
      </c>
      <c r="D19" s="9" t="s">
        <v>217</v>
      </c>
      <c r="E19" s="9" t="s">
        <v>218</v>
      </c>
      <c r="F19" s="9" t="s">
        <v>219</v>
      </c>
      <c r="G19" s="9" t="s">
        <v>220</v>
      </c>
      <c r="I19" s="9" t="s">
        <v>221</v>
      </c>
      <c r="J19" s="9" t="s">
        <v>222</v>
      </c>
      <c r="K19" s="9" t="s">
        <v>223</v>
      </c>
      <c r="L19" s="9" t="s">
        <v>224</v>
      </c>
      <c r="M19" s="9" t="s">
        <v>225</v>
      </c>
      <c r="N19" s="9" t="s">
        <v>226</v>
      </c>
      <c r="O19" s="9" t="s">
        <v>227</v>
      </c>
      <c r="P19" s="9" t="s">
        <v>228</v>
      </c>
      <c r="Q19" s="9" t="s">
        <v>229</v>
      </c>
      <c r="R19" s="9" t="s">
        <v>230</v>
      </c>
      <c r="S19" s="9" t="s">
        <v>231</v>
      </c>
      <c r="U19" s="9" t="s">
        <v>232</v>
      </c>
      <c r="V19" s="9" t="s">
        <v>233</v>
      </c>
      <c r="W19" s="9" t="s">
        <v>234</v>
      </c>
      <c r="X19" s="9" t="s">
        <v>235</v>
      </c>
      <c r="Y19" s="9" t="s">
        <v>236</v>
      </c>
      <c r="Z19" s="9" t="s">
        <v>237</v>
      </c>
      <c r="AA19" s="9" t="s">
        <v>238</v>
      </c>
      <c r="AB19" s="9" t="s">
        <v>239</v>
      </c>
    </row>
    <row r="20" spans="1:28" x14ac:dyDescent="0.25">
      <c r="B20" s="10" t="str">
        <f>'Dashboard-1-AVALIAÇÃO INST.'!$A$21</f>
        <v>5-ÓTIMO</v>
      </c>
      <c r="C20" s="7">
        <f>COUNTIFS(C$2:C$17,5)/$A$33</f>
        <v>0.4</v>
      </c>
      <c r="D20" s="7">
        <f>COUNTIFS(D$2:D$17,5)/$A$33</f>
        <v>0.8</v>
      </c>
      <c r="E20" s="7">
        <f>COUNTIFS(E$2:E$17,5)/$A$33</f>
        <v>0.8</v>
      </c>
      <c r="F20" s="7">
        <f>COUNTIFS(F$2:F$17,5)/$A$33</f>
        <v>0.8</v>
      </c>
      <c r="G20" s="7">
        <f>COUNTIFS(G$2:G$17,5)/$A$33</f>
        <v>0.8</v>
      </c>
      <c r="I20" s="7">
        <f t="shared" ref="I20:S20" si="0">COUNTIFS(I$2:I$17,5)/$A$33</f>
        <v>0.6</v>
      </c>
      <c r="J20" s="7">
        <f t="shared" si="0"/>
        <v>0.8</v>
      </c>
      <c r="K20" s="7">
        <f t="shared" si="0"/>
        <v>0.8</v>
      </c>
      <c r="L20" s="7">
        <f t="shared" si="0"/>
        <v>0.8</v>
      </c>
      <c r="M20" s="7">
        <f t="shared" si="0"/>
        <v>1</v>
      </c>
      <c r="N20" s="7">
        <f t="shared" si="0"/>
        <v>1</v>
      </c>
      <c r="O20" s="7">
        <f t="shared" si="0"/>
        <v>0.6</v>
      </c>
      <c r="P20" s="7">
        <f t="shared" si="0"/>
        <v>0.6</v>
      </c>
      <c r="Q20" s="7">
        <f t="shared" si="0"/>
        <v>1</v>
      </c>
      <c r="R20" s="7">
        <f t="shared" si="0"/>
        <v>0.6</v>
      </c>
      <c r="S20" s="7">
        <f t="shared" si="0"/>
        <v>0.8</v>
      </c>
      <c r="U20" s="7">
        <f t="shared" ref="U20:AB20" si="1">COUNTIFS(U$2:U$17,5)/$A$33</f>
        <v>0.4</v>
      </c>
      <c r="V20" s="7">
        <f t="shared" si="1"/>
        <v>0.6</v>
      </c>
      <c r="W20" s="7">
        <f t="shared" si="1"/>
        <v>0.6</v>
      </c>
      <c r="X20" s="7">
        <f t="shared" si="1"/>
        <v>0.2</v>
      </c>
      <c r="Y20" s="7">
        <f t="shared" si="1"/>
        <v>0.2</v>
      </c>
      <c r="Z20" s="7">
        <f t="shared" si="1"/>
        <v>0.4</v>
      </c>
      <c r="AA20" s="7">
        <f t="shared" si="1"/>
        <v>0.8</v>
      </c>
      <c r="AB20" s="7">
        <f t="shared" si="1"/>
        <v>0.2</v>
      </c>
    </row>
    <row r="21" spans="1:28" x14ac:dyDescent="0.25">
      <c r="B21" s="10" t="str">
        <f>'Dashboard-1-AVALIAÇÃO INST.'!$A$22</f>
        <v>4-MUITO BOM</v>
      </c>
      <c r="C21" s="7">
        <f>COUNTIFS(C$2:C$17,4)/$A$33</f>
        <v>0.6</v>
      </c>
      <c r="D21" s="7">
        <f>COUNTIFS(D$2:D$17,4)/$A$33</f>
        <v>0.2</v>
      </c>
      <c r="E21" s="7">
        <f>COUNTIFS(E$2:E$17,4)/$A$33</f>
        <v>0</v>
      </c>
      <c r="F21" s="7">
        <f>COUNTIFS(F$2:F$17,4)/$A$33</f>
        <v>0.2</v>
      </c>
      <c r="G21" s="7">
        <f>COUNTIFS(G$2:G$17,4)/$A$33</f>
        <v>0.2</v>
      </c>
      <c r="I21" s="7">
        <f t="shared" ref="I21:S21" si="2">COUNTIFS(I$2:I$17,4)/$A$33</f>
        <v>0.2</v>
      </c>
      <c r="J21" s="7">
        <f t="shared" si="2"/>
        <v>0.2</v>
      </c>
      <c r="K21" s="7">
        <f t="shared" si="2"/>
        <v>0.2</v>
      </c>
      <c r="L21" s="7">
        <f t="shared" si="2"/>
        <v>0.2</v>
      </c>
      <c r="M21" s="7">
        <f t="shared" si="2"/>
        <v>0</v>
      </c>
      <c r="N21" s="7">
        <f t="shared" si="2"/>
        <v>0</v>
      </c>
      <c r="O21" s="7">
        <f t="shared" si="2"/>
        <v>0.2</v>
      </c>
      <c r="P21" s="7">
        <f t="shared" si="2"/>
        <v>0.2</v>
      </c>
      <c r="Q21" s="7">
        <f t="shared" si="2"/>
        <v>0</v>
      </c>
      <c r="R21" s="7">
        <f t="shared" si="2"/>
        <v>0</v>
      </c>
      <c r="S21" s="7">
        <f t="shared" si="2"/>
        <v>0.2</v>
      </c>
      <c r="U21" s="7">
        <f t="shared" ref="U21:AB21" si="3">COUNTIFS(U$2:U$17,4)/$A$33</f>
        <v>0.4</v>
      </c>
      <c r="V21" s="7">
        <f t="shared" si="3"/>
        <v>0</v>
      </c>
      <c r="W21" s="7">
        <f t="shared" si="3"/>
        <v>0.2</v>
      </c>
      <c r="X21" s="7">
        <f t="shared" si="3"/>
        <v>0</v>
      </c>
      <c r="Y21" s="7">
        <f t="shared" si="3"/>
        <v>0.2</v>
      </c>
      <c r="Z21" s="7">
        <f t="shared" si="3"/>
        <v>0.2</v>
      </c>
      <c r="AA21" s="7">
        <f t="shared" si="3"/>
        <v>0</v>
      </c>
      <c r="AB21" s="7">
        <f t="shared" si="3"/>
        <v>0</v>
      </c>
    </row>
    <row r="22" spans="1:28" x14ac:dyDescent="0.25">
      <c r="B22" s="10" t="str">
        <f>'Dashboard-1-AVALIAÇÃO INST.'!$A$23</f>
        <v>3-BOM</v>
      </c>
      <c r="C22" s="7">
        <f>COUNTIFS(C$2:C$17,3)/$A$33</f>
        <v>0</v>
      </c>
      <c r="D22" s="7">
        <f>COUNTIFS(D$2:D$17,3)/$A$33</f>
        <v>0</v>
      </c>
      <c r="E22" s="7">
        <f>COUNTIFS(E$2:E$17,3)/$A$33</f>
        <v>0.2</v>
      </c>
      <c r="F22" s="7">
        <f>COUNTIFS(F$2:F$17,3)/$A$33</f>
        <v>0</v>
      </c>
      <c r="G22" s="7">
        <f>COUNTIFS(G$2:G$17,3)/$A$33</f>
        <v>0</v>
      </c>
      <c r="I22" s="7">
        <f t="shared" ref="I22:S22" si="4">COUNTIFS(I$2:I$17,3)/$A$33</f>
        <v>0</v>
      </c>
      <c r="J22" s="7">
        <f t="shared" si="4"/>
        <v>0</v>
      </c>
      <c r="K22" s="7">
        <f t="shared" si="4"/>
        <v>0</v>
      </c>
      <c r="L22" s="7">
        <f t="shared" si="4"/>
        <v>0</v>
      </c>
      <c r="M22" s="7">
        <f t="shared" si="4"/>
        <v>0</v>
      </c>
      <c r="N22" s="7">
        <f t="shared" si="4"/>
        <v>0</v>
      </c>
      <c r="O22" s="7">
        <f t="shared" si="4"/>
        <v>0</v>
      </c>
      <c r="P22" s="7">
        <f t="shared" si="4"/>
        <v>0.2</v>
      </c>
      <c r="Q22" s="7">
        <f t="shared" si="4"/>
        <v>0</v>
      </c>
      <c r="R22" s="7">
        <f t="shared" si="4"/>
        <v>0</v>
      </c>
      <c r="S22" s="7">
        <f t="shared" si="4"/>
        <v>0</v>
      </c>
      <c r="U22" s="7">
        <f t="shared" ref="U22:AB22" si="5">COUNTIFS(U$2:U$17,3)/$A$33</f>
        <v>0</v>
      </c>
      <c r="V22" s="7">
        <f t="shared" si="5"/>
        <v>0</v>
      </c>
      <c r="W22" s="7">
        <f t="shared" si="5"/>
        <v>0</v>
      </c>
      <c r="X22" s="7">
        <f t="shared" si="5"/>
        <v>0.2</v>
      </c>
      <c r="Y22" s="7">
        <f t="shared" si="5"/>
        <v>0.4</v>
      </c>
      <c r="Z22" s="7">
        <f t="shared" si="5"/>
        <v>0.2</v>
      </c>
      <c r="AA22" s="7">
        <f t="shared" si="5"/>
        <v>0</v>
      </c>
      <c r="AB22" s="7">
        <f t="shared" si="5"/>
        <v>0</v>
      </c>
    </row>
    <row r="23" spans="1:28" x14ac:dyDescent="0.25">
      <c r="B23" s="10" t="str">
        <f>'Dashboard-1-AVALIAÇÃO INST.'!$A$24</f>
        <v>2-REGULAR</v>
      </c>
      <c r="C23" s="7">
        <f>COUNTIFS(C$2:C$17,2)/$A$33</f>
        <v>0</v>
      </c>
      <c r="D23" s="7">
        <f>COUNTIFS(D$2:D$17,2)/$A$33</f>
        <v>0</v>
      </c>
      <c r="E23" s="7">
        <f>COUNTIFS(E$2:E$17,2)/$A$33</f>
        <v>0</v>
      </c>
      <c r="F23" s="7">
        <f>COUNTIFS(F$2:F$17,2)/$A$33</f>
        <v>0</v>
      </c>
      <c r="G23" s="7">
        <f>COUNTIFS(G$2:G$17,2)/$A$33</f>
        <v>0</v>
      </c>
      <c r="I23" s="7">
        <f t="shared" ref="I23:S23" si="6">COUNTIFS(I$2:I$17,2)/$A$33</f>
        <v>0.2</v>
      </c>
      <c r="J23" s="7">
        <f t="shared" si="6"/>
        <v>0</v>
      </c>
      <c r="K23" s="7">
        <f t="shared" si="6"/>
        <v>0</v>
      </c>
      <c r="L23" s="7">
        <f t="shared" si="6"/>
        <v>0</v>
      </c>
      <c r="M23" s="7">
        <f t="shared" si="6"/>
        <v>0</v>
      </c>
      <c r="N23" s="7">
        <f t="shared" si="6"/>
        <v>0</v>
      </c>
      <c r="O23" s="7">
        <f t="shared" si="6"/>
        <v>0</v>
      </c>
      <c r="P23" s="7">
        <f t="shared" si="6"/>
        <v>0</v>
      </c>
      <c r="Q23" s="7">
        <f t="shared" si="6"/>
        <v>0</v>
      </c>
      <c r="R23" s="7">
        <f t="shared" si="6"/>
        <v>0.4</v>
      </c>
      <c r="S23" s="7">
        <f t="shared" si="6"/>
        <v>0</v>
      </c>
      <c r="U23" s="7">
        <f t="shared" ref="U23:AB23" si="7">COUNTIFS(U$2:U$17,2)/$A$33</f>
        <v>0</v>
      </c>
      <c r="V23" s="7">
        <f t="shared" si="7"/>
        <v>0.2</v>
      </c>
      <c r="W23" s="7">
        <f t="shared" si="7"/>
        <v>0</v>
      </c>
      <c r="X23" s="7">
        <f t="shared" si="7"/>
        <v>0.4</v>
      </c>
      <c r="Y23" s="7">
        <f t="shared" si="7"/>
        <v>0</v>
      </c>
      <c r="Z23" s="7">
        <f t="shared" si="7"/>
        <v>0</v>
      </c>
      <c r="AA23" s="7">
        <f t="shared" si="7"/>
        <v>0</v>
      </c>
      <c r="AB23" s="7">
        <f t="shared" si="7"/>
        <v>0.2</v>
      </c>
    </row>
    <row r="24" spans="1:28" x14ac:dyDescent="0.25">
      <c r="B24" s="10" t="str">
        <f>'Dashboard-1-AVALIAÇÃO INST.'!$A$25</f>
        <v>1-RUIM</v>
      </c>
      <c r="C24" s="7">
        <f>COUNTIFS(C$2:C$17,1)/$A$33</f>
        <v>0</v>
      </c>
      <c r="D24" s="7">
        <f>COUNTIFS(D$2:D$17,1)/$A$33</f>
        <v>0</v>
      </c>
      <c r="E24" s="7">
        <f>COUNTIFS(E$2:E$17,1)/$A$33</f>
        <v>0</v>
      </c>
      <c r="F24" s="7">
        <f>COUNTIFS(F$2:F$17,1)/$A$33</f>
        <v>0</v>
      </c>
      <c r="G24" s="7">
        <f>COUNTIFS(G$2:G$17,1)/$A$33</f>
        <v>0</v>
      </c>
      <c r="I24" s="7">
        <f t="shared" ref="I24:S24" si="8">COUNTIFS(I$2:I$17,1)/$A$33</f>
        <v>0</v>
      </c>
      <c r="J24" s="7">
        <f t="shared" si="8"/>
        <v>0</v>
      </c>
      <c r="K24" s="7">
        <f t="shared" si="8"/>
        <v>0</v>
      </c>
      <c r="L24" s="7">
        <f t="shared" si="8"/>
        <v>0</v>
      </c>
      <c r="M24" s="7">
        <f t="shared" si="8"/>
        <v>0</v>
      </c>
      <c r="N24" s="7">
        <f t="shared" si="8"/>
        <v>0</v>
      </c>
      <c r="O24" s="7">
        <f t="shared" si="8"/>
        <v>0</v>
      </c>
      <c r="P24" s="7">
        <f t="shared" si="8"/>
        <v>0</v>
      </c>
      <c r="Q24" s="7">
        <f t="shared" si="8"/>
        <v>0</v>
      </c>
      <c r="R24" s="7">
        <f t="shared" si="8"/>
        <v>0</v>
      </c>
      <c r="S24" s="7">
        <f t="shared" si="8"/>
        <v>0</v>
      </c>
      <c r="U24" s="7">
        <f t="shared" ref="U24:AB24" si="9">COUNTIFS(U$2:U$17,1)/$A$33</f>
        <v>0</v>
      </c>
      <c r="V24" s="7">
        <f t="shared" si="9"/>
        <v>0</v>
      </c>
      <c r="W24" s="7">
        <f t="shared" si="9"/>
        <v>0</v>
      </c>
      <c r="X24" s="7">
        <f t="shared" si="9"/>
        <v>0</v>
      </c>
      <c r="Y24" s="7">
        <f t="shared" si="9"/>
        <v>0</v>
      </c>
      <c r="Z24" s="7">
        <f t="shared" si="9"/>
        <v>0</v>
      </c>
      <c r="AA24" s="7">
        <f t="shared" si="9"/>
        <v>0</v>
      </c>
      <c r="AB24" s="7">
        <f t="shared" si="9"/>
        <v>0</v>
      </c>
    </row>
    <row r="25" spans="1:28" x14ac:dyDescent="0.25">
      <c r="B25" s="10" t="str">
        <f>'Dashboard-1-AVALIAÇÃO INST.'!$A$26</f>
        <v>0-NÃO SE APLICA</v>
      </c>
      <c r="C25" s="7">
        <f>COUNTIFS(C$2:C$17,0)/$A$33</f>
        <v>0</v>
      </c>
      <c r="D25" s="7">
        <f>COUNTIFS(D$2:D$17,0)/$A$33</f>
        <v>0</v>
      </c>
      <c r="E25" s="7">
        <f>COUNTIFS(E$2:E$17,0)/$A$33</f>
        <v>0</v>
      </c>
      <c r="F25" s="7">
        <f>COUNTIFS(F$2:F$17,0)/$A$33</f>
        <v>0</v>
      </c>
      <c r="G25" s="7">
        <f>COUNTIFS(G$2:G$17,0)/$A$33</f>
        <v>0</v>
      </c>
      <c r="I25" s="7">
        <f t="shared" ref="I25:S25" si="10">COUNTIFS(I$2:I$17,0)/$A$33</f>
        <v>0</v>
      </c>
      <c r="J25" s="7">
        <f t="shared" si="10"/>
        <v>0</v>
      </c>
      <c r="K25" s="7">
        <f t="shared" si="10"/>
        <v>0</v>
      </c>
      <c r="L25" s="7">
        <f t="shared" si="10"/>
        <v>0</v>
      </c>
      <c r="M25" s="7">
        <f t="shared" si="10"/>
        <v>0</v>
      </c>
      <c r="N25" s="7">
        <f t="shared" si="10"/>
        <v>0</v>
      </c>
      <c r="O25" s="7">
        <f t="shared" si="10"/>
        <v>0.2</v>
      </c>
      <c r="P25" s="7">
        <f t="shared" si="10"/>
        <v>0</v>
      </c>
      <c r="Q25" s="7">
        <f t="shared" si="10"/>
        <v>0</v>
      </c>
      <c r="R25" s="7">
        <f t="shared" si="10"/>
        <v>0</v>
      </c>
      <c r="S25" s="7">
        <f t="shared" si="10"/>
        <v>0</v>
      </c>
      <c r="U25" s="7">
        <f t="shared" ref="U25:AB25" si="11">COUNTIFS(U$2:U$17,0)/$A$33</f>
        <v>0.2</v>
      </c>
      <c r="V25" s="7">
        <f t="shared" si="11"/>
        <v>0.2</v>
      </c>
      <c r="W25" s="7">
        <f t="shared" si="11"/>
        <v>0.2</v>
      </c>
      <c r="X25" s="7">
        <f t="shared" si="11"/>
        <v>0.2</v>
      </c>
      <c r="Y25" s="7">
        <f t="shared" si="11"/>
        <v>0.2</v>
      </c>
      <c r="Z25" s="7">
        <f t="shared" si="11"/>
        <v>0.2</v>
      </c>
      <c r="AA25" s="7">
        <f t="shared" si="11"/>
        <v>0.2</v>
      </c>
      <c r="AB25" s="7">
        <f t="shared" si="11"/>
        <v>0.6</v>
      </c>
    </row>
    <row r="26" spans="1:28" x14ac:dyDescent="0.25">
      <c r="C26" s="8" t="str">
        <f>IF(SUM(C20:C25)=1,"Conferido!","Erro!")</f>
        <v>Conferido!</v>
      </c>
      <c r="D26" s="8" t="str">
        <f>IF(SUM(D20:D25)=1,"Conferido!","Erro!")</f>
        <v>Conferido!</v>
      </c>
      <c r="E26" s="8" t="str">
        <f>IF(SUM(E20:E25)=1,"Conferido!","Erro!")</f>
        <v>Conferido!</v>
      </c>
      <c r="F26" s="8" t="str">
        <f>IF(SUM(F20:F25)=1,"Conferido!","Erro!")</f>
        <v>Conferido!</v>
      </c>
      <c r="G26" s="8" t="str">
        <f>IF(SUM(G20:G25)=1,"Conferido!","Erro!")</f>
        <v>Conferido!</v>
      </c>
      <c r="I26" s="8" t="str">
        <f t="shared" ref="I26:S26" si="12">IF(SUM(I20:I25)=1,"Conferido!","Erro!")</f>
        <v>Conferido!</v>
      </c>
      <c r="J26" s="8" t="str">
        <f t="shared" si="12"/>
        <v>Conferido!</v>
      </c>
      <c r="K26" s="8" t="str">
        <f t="shared" si="12"/>
        <v>Conferido!</v>
      </c>
      <c r="L26" s="8" t="str">
        <f t="shared" si="12"/>
        <v>Conferido!</v>
      </c>
      <c r="M26" s="8" t="str">
        <f t="shared" si="12"/>
        <v>Conferido!</v>
      </c>
      <c r="N26" s="8" t="str">
        <f t="shared" si="12"/>
        <v>Conferido!</v>
      </c>
      <c r="O26" s="8" t="str">
        <f t="shared" si="12"/>
        <v>Conferido!</v>
      </c>
      <c r="P26" s="8" t="str">
        <f t="shared" si="12"/>
        <v>Conferido!</v>
      </c>
      <c r="Q26" s="8" t="str">
        <f t="shared" si="12"/>
        <v>Conferido!</v>
      </c>
      <c r="R26" s="8" t="str">
        <f t="shared" si="12"/>
        <v>Conferido!</v>
      </c>
      <c r="S26" s="8" t="str">
        <f t="shared" si="12"/>
        <v>Conferido!</v>
      </c>
      <c r="U26" s="8" t="str">
        <f t="shared" ref="U26:AB26" si="13">IF(SUM(U20:U25)=1,"Conferido!","Erro!")</f>
        <v>Conferido!</v>
      </c>
      <c r="V26" s="8" t="str">
        <f t="shared" si="13"/>
        <v>Conferido!</v>
      </c>
      <c r="W26" s="8" t="str">
        <f t="shared" si="13"/>
        <v>Conferido!</v>
      </c>
      <c r="X26" s="8" t="str">
        <f t="shared" si="13"/>
        <v>Conferido!</v>
      </c>
      <c r="Y26" s="8" t="str">
        <f t="shared" si="13"/>
        <v>Conferido!</v>
      </c>
      <c r="Z26" s="8" t="str">
        <f t="shared" si="13"/>
        <v>Conferido!</v>
      </c>
      <c r="AA26" s="8" t="str">
        <f t="shared" si="13"/>
        <v>Conferido!</v>
      </c>
      <c r="AB26" s="8" t="str">
        <f t="shared" si="13"/>
        <v>Conferido!</v>
      </c>
    </row>
    <row r="27" spans="1:28" ht="13.8" x14ac:dyDescent="0.25">
      <c r="C27" s="133" t="s">
        <v>305</v>
      </c>
      <c r="D27" s="133" t="s">
        <v>305</v>
      </c>
      <c r="E27" s="133" t="s">
        <v>305</v>
      </c>
      <c r="F27" s="133" t="s">
        <v>305</v>
      </c>
      <c r="G27" s="133" t="s">
        <v>305</v>
      </c>
      <c r="I27" s="133" t="s">
        <v>305</v>
      </c>
      <c r="J27" s="133" t="s">
        <v>305</v>
      </c>
      <c r="K27" s="133" t="s">
        <v>305</v>
      </c>
      <c r="L27" s="133" t="s">
        <v>305</v>
      </c>
      <c r="M27" s="133" t="s">
        <v>305</v>
      </c>
      <c r="N27" s="133" t="s">
        <v>305</v>
      </c>
      <c r="O27" s="133" t="s">
        <v>305</v>
      </c>
      <c r="P27" s="133" t="s">
        <v>305</v>
      </c>
      <c r="Q27" s="133" t="s">
        <v>305</v>
      </c>
      <c r="R27" s="133" t="s">
        <v>305</v>
      </c>
      <c r="S27" s="133" t="s">
        <v>305</v>
      </c>
      <c r="U27" s="133" t="s">
        <v>305</v>
      </c>
      <c r="V27" s="133" t="s">
        <v>305</v>
      </c>
      <c r="W27" s="133" t="s">
        <v>305</v>
      </c>
      <c r="X27" s="133" t="s">
        <v>305</v>
      </c>
      <c r="Y27" s="133" t="s">
        <v>305</v>
      </c>
      <c r="Z27" s="133" t="s">
        <v>305</v>
      </c>
      <c r="AA27" s="133" t="s">
        <v>305</v>
      </c>
      <c r="AB27" s="133" t="s">
        <v>305</v>
      </c>
    </row>
    <row r="28" spans="1:28" ht="15.6" x14ac:dyDescent="0.3">
      <c r="B28" s="109" t="str">
        <f>'Dashboard-1-AVALIAÇÃO INST.'!$A$29</f>
        <v>MUITO BOM / ÓTIMO</v>
      </c>
      <c r="C28" s="169">
        <f>C20+C21</f>
        <v>1</v>
      </c>
      <c r="D28" s="170">
        <f t="shared" ref="D28:AB28" si="14">D20+D21</f>
        <v>1</v>
      </c>
      <c r="E28" s="170">
        <f t="shared" si="14"/>
        <v>0.8</v>
      </c>
      <c r="F28" s="170">
        <f t="shared" si="14"/>
        <v>1</v>
      </c>
      <c r="G28" s="170">
        <f t="shared" si="14"/>
        <v>1</v>
      </c>
      <c r="H28" s="170">
        <f t="shared" si="14"/>
        <v>0</v>
      </c>
      <c r="I28" s="170">
        <f t="shared" si="14"/>
        <v>0.8</v>
      </c>
      <c r="J28" s="170">
        <f t="shared" si="14"/>
        <v>1</v>
      </c>
      <c r="K28" s="170">
        <f t="shared" si="14"/>
        <v>1</v>
      </c>
      <c r="L28" s="170">
        <f t="shared" si="14"/>
        <v>1</v>
      </c>
      <c r="M28" s="170">
        <f t="shared" si="14"/>
        <v>1</v>
      </c>
      <c r="N28" s="170">
        <f t="shared" si="14"/>
        <v>1</v>
      </c>
      <c r="O28" s="170">
        <f t="shared" si="14"/>
        <v>0.8</v>
      </c>
      <c r="P28" s="170">
        <f t="shared" si="14"/>
        <v>0.8</v>
      </c>
      <c r="Q28" s="170">
        <f t="shared" si="14"/>
        <v>1</v>
      </c>
      <c r="R28" s="170">
        <f t="shared" si="14"/>
        <v>0.6</v>
      </c>
      <c r="S28" s="170">
        <f t="shared" si="14"/>
        <v>1</v>
      </c>
      <c r="T28" s="170">
        <f t="shared" si="14"/>
        <v>0</v>
      </c>
      <c r="U28" s="170">
        <f t="shared" si="14"/>
        <v>0.8</v>
      </c>
      <c r="V28" s="170">
        <f t="shared" si="14"/>
        <v>0.6</v>
      </c>
      <c r="W28" s="170">
        <f t="shared" si="14"/>
        <v>0.8</v>
      </c>
      <c r="X28" s="170">
        <f t="shared" si="14"/>
        <v>0.2</v>
      </c>
      <c r="Y28" s="170">
        <f t="shared" si="14"/>
        <v>0.4</v>
      </c>
      <c r="Z28" s="170">
        <f t="shared" si="14"/>
        <v>0.60000000000000009</v>
      </c>
      <c r="AA28" s="170">
        <f t="shared" si="14"/>
        <v>0.8</v>
      </c>
      <c r="AB28" s="166">
        <f t="shared" si="14"/>
        <v>0.2</v>
      </c>
    </row>
    <row r="29" spans="1:28" ht="15.6" x14ac:dyDescent="0.3">
      <c r="B29" s="110" t="str">
        <f>'Dashboard-1-AVALIAÇÃO INST.'!$A$30</f>
        <v>BOM</v>
      </c>
      <c r="C29" s="171">
        <f>C22</f>
        <v>0</v>
      </c>
      <c r="D29" s="168">
        <f t="shared" ref="D29:AB29" si="15">D22</f>
        <v>0</v>
      </c>
      <c r="E29" s="168">
        <f t="shared" si="15"/>
        <v>0.2</v>
      </c>
      <c r="F29" s="168">
        <f t="shared" si="15"/>
        <v>0</v>
      </c>
      <c r="G29" s="168">
        <f t="shared" si="15"/>
        <v>0</v>
      </c>
      <c r="H29" s="168">
        <f t="shared" si="15"/>
        <v>0</v>
      </c>
      <c r="I29" s="168">
        <f t="shared" si="15"/>
        <v>0</v>
      </c>
      <c r="J29" s="168">
        <f t="shared" si="15"/>
        <v>0</v>
      </c>
      <c r="K29" s="168">
        <f t="shared" si="15"/>
        <v>0</v>
      </c>
      <c r="L29" s="168">
        <f t="shared" si="15"/>
        <v>0</v>
      </c>
      <c r="M29" s="168">
        <f t="shared" si="15"/>
        <v>0</v>
      </c>
      <c r="N29" s="168">
        <f t="shared" si="15"/>
        <v>0</v>
      </c>
      <c r="O29" s="168">
        <f t="shared" si="15"/>
        <v>0</v>
      </c>
      <c r="P29" s="168">
        <f t="shared" si="15"/>
        <v>0.2</v>
      </c>
      <c r="Q29" s="168">
        <f t="shared" si="15"/>
        <v>0</v>
      </c>
      <c r="R29" s="168">
        <f t="shared" si="15"/>
        <v>0</v>
      </c>
      <c r="S29" s="168">
        <f t="shared" si="15"/>
        <v>0</v>
      </c>
      <c r="T29" s="168">
        <f t="shared" si="15"/>
        <v>0</v>
      </c>
      <c r="U29" s="168">
        <f t="shared" si="15"/>
        <v>0</v>
      </c>
      <c r="V29" s="168">
        <f t="shared" si="15"/>
        <v>0</v>
      </c>
      <c r="W29" s="168">
        <f t="shared" si="15"/>
        <v>0</v>
      </c>
      <c r="X29" s="168">
        <f t="shared" si="15"/>
        <v>0.2</v>
      </c>
      <c r="Y29" s="168">
        <f t="shared" si="15"/>
        <v>0.4</v>
      </c>
      <c r="Z29" s="168">
        <f t="shared" si="15"/>
        <v>0.2</v>
      </c>
      <c r="AA29" s="168">
        <f t="shared" si="15"/>
        <v>0</v>
      </c>
      <c r="AB29" s="167">
        <f t="shared" si="15"/>
        <v>0</v>
      </c>
    </row>
    <row r="30" spans="1:28" ht="15.6" x14ac:dyDescent="0.3">
      <c r="B30" s="110" t="str">
        <f>'Dashboard-1-AVALIAÇÃO INST.'!$A$31</f>
        <v>RUIM / REGULAR</v>
      </c>
      <c r="C30" s="171">
        <f>C23+C24</f>
        <v>0</v>
      </c>
      <c r="D30" s="168">
        <f t="shared" ref="D30:AB30" si="16">D23+D24</f>
        <v>0</v>
      </c>
      <c r="E30" s="168">
        <f t="shared" si="16"/>
        <v>0</v>
      </c>
      <c r="F30" s="168">
        <f t="shared" si="16"/>
        <v>0</v>
      </c>
      <c r="G30" s="168">
        <f t="shared" si="16"/>
        <v>0</v>
      </c>
      <c r="H30" s="168">
        <f t="shared" si="16"/>
        <v>0</v>
      </c>
      <c r="I30" s="168">
        <f t="shared" si="16"/>
        <v>0.2</v>
      </c>
      <c r="J30" s="168">
        <f t="shared" si="16"/>
        <v>0</v>
      </c>
      <c r="K30" s="168">
        <f t="shared" si="16"/>
        <v>0</v>
      </c>
      <c r="L30" s="168">
        <f t="shared" si="16"/>
        <v>0</v>
      </c>
      <c r="M30" s="168">
        <f t="shared" si="16"/>
        <v>0</v>
      </c>
      <c r="N30" s="168">
        <f t="shared" si="16"/>
        <v>0</v>
      </c>
      <c r="O30" s="168">
        <f t="shared" si="16"/>
        <v>0</v>
      </c>
      <c r="P30" s="168">
        <f t="shared" si="16"/>
        <v>0</v>
      </c>
      <c r="Q30" s="168">
        <f t="shared" si="16"/>
        <v>0</v>
      </c>
      <c r="R30" s="168">
        <f t="shared" si="16"/>
        <v>0.4</v>
      </c>
      <c r="S30" s="168">
        <f t="shared" si="16"/>
        <v>0</v>
      </c>
      <c r="T30" s="168">
        <f t="shared" si="16"/>
        <v>0</v>
      </c>
      <c r="U30" s="168">
        <f t="shared" si="16"/>
        <v>0</v>
      </c>
      <c r="V30" s="168">
        <f t="shared" si="16"/>
        <v>0.2</v>
      </c>
      <c r="W30" s="168">
        <f t="shared" si="16"/>
        <v>0</v>
      </c>
      <c r="X30" s="168">
        <f t="shared" si="16"/>
        <v>0.4</v>
      </c>
      <c r="Y30" s="168">
        <f t="shared" si="16"/>
        <v>0</v>
      </c>
      <c r="Z30" s="168">
        <f t="shared" si="16"/>
        <v>0</v>
      </c>
      <c r="AA30" s="168">
        <f t="shared" si="16"/>
        <v>0</v>
      </c>
      <c r="AB30" s="167">
        <f t="shared" si="16"/>
        <v>0.2</v>
      </c>
    </row>
    <row r="31" spans="1:28" ht="15.6" x14ac:dyDescent="0.3">
      <c r="B31" s="111" t="str">
        <f>'Dashboard-1-AVALIAÇÃO INST.'!$A$32</f>
        <v>NÃO SE APLICA / NÃO SEI</v>
      </c>
      <c r="C31" s="172">
        <f>C25</f>
        <v>0</v>
      </c>
      <c r="D31" s="173">
        <f t="shared" ref="D31:AB31" si="17">D25</f>
        <v>0</v>
      </c>
      <c r="E31" s="173">
        <f t="shared" si="17"/>
        <v>0</v>
      </c>
      <c r="F31" s="173">
        <f t="shared" si="17"/>
        <v>0</v>
      </c>
      <c r="G31" s="173">
        <f t="shared" si="17"/>
        <v>0</v>
      </c>
      <c r="H31" s="173">
        <f t="shared" si="17"/>
        <v>0</v>
      </c>
      <c r="I31" s="173">
        <f t="shared" si="17"/>
        <v>0</v>
      </c>
      <c r="J31" s="173">
        <f t="shared" si="17"/>
        <v>0</v>
      </c>
      <c r="K31" s="173">
        <f t="shared" si="17"/>
        <v>0</v>
      </c>
      <c r="L31" s="173">
        <f t="shared" si="17"/>
        <v>0</v>
      </c>
      <c r="M31" s="173">
        <f t="shared" si="17"/>
        <v>0</v>
      </c>
      <c r="N31" s="173">
        <f t="shared" si="17"/>
        <v>0</v>
      </c>
      <c r="O31" s="173">
        <f t="shared" si="17"/>
        <v>0.2</v>
      </c>
      <c r="P31" s="173">
        <f t="shared" si="17"/>
        <v>0</v>
      </c>
      <c r="Q31" s="173">
        <f t="shared" si="17"/>
        <v>0</v>
      </c>
      <c r="R31" s="173">
        <f t="shared" si="17"/>
        <v>0</v>
      </c>
      <c r="S31" s="173">
        <f t="shared" si="17"/>
        <v>0</v>
      </c>
      <c r="T31" s="173">
        <f t="shared" si="17"/>
        <v>0</v>
      </c>
      <c r="U31" s="173">
        <f t="shared" si="17"/>
        <v>0.2</v>
      </c>
      <c r="V31" s="173">
        <f t="shared" si="17"/>
        <v>0.2</v>
      </c>
      <c r="W31" s="173">
        <f t="shared" si="17"/>
        <v>0.2</v>
      </c>
      <c r="X31" s="173">
        <f t="shared" si="17"/>
        <v>0.2</v>
      </c>
      <c r="Y31" s="173">
        <f t="shared" si="17"/>
        <v>0.2</v>
      </c>
      <c r="Z31" s="173">
        <f t="shared" si="17"/>
        <v>0.2</v>
      </c>
      <c r="AA31" s="173">
        <f t="shared" si="17"/>
        <v>0.2</v>
      </c>
      <c r="AB31" s="174">
        <f t="shared" si="17"/>
        <v>0.6</v>
      </c>
    </row>
    <row r="32" spans="1:28" x14ac:dyDescent="0.25">
      <c r="A32" s="5" t="s">
        <v>211</v>
      </c>
      <c r="B32" s="91"/>
      <c r="C32" s="165">
        <f>SUM(C28:C31)</f>
        <v>1</v>
      </c>
      <c r="D32" s="165">
        <f t="shared" ref="D32:AB32" si="18">SUM(D28:D31)</f>
        <v>1</v>
      </c>
      <c r="E32" s="165">
        <f t="shared" si="18"/>
        <v>1</v>
      </c>
      <c r="F32" s="165">
        <f t="shared" si="18"/>
        <v>1</v>
      </c>
      <c r="G32" s="165">
        <f t="shared" si="18"/>
        <v>1</v>
      </c>
      <c r="H32" s="165">
        <f t="shared" si="18"/>
        <v>0</v>
      </c>
      <c r="I32" s="165">
        <f t="shared" si="18"/>
        <v>1</v>
      </c>
      <c r="J32" s="165">
        <f t="shared" si="18"/>
        <v>1</v>
      </c>
      <c r="K32" s="165">
        <f t="shared" si="18"/>
        <v>1</v>
      </c>
      <c r="L32" s="165">
        <f t="shared" si="18"/>
        <v>1</v>
      </c>
      <c r="M32" s="165">
        <f t="shared" si="18"/>
        <v>1</v>
      </c>
      <c r="N32" s="165">
        <f t="shared" si="18"/>
        <v>1</v>
      </c>
      <c r="O32" s="165">
        <f t="shared" si="18"/>
        <v>1</v>
      </c>
      <c r="P32" s="165">
        <f t="shared" si="18"/>
        <v>1</v>
      </c>
      <c r="Q32" s="165">
        <f t="shared" si="18"/>
        <v>1</v>
      </c>
      <c r="R32" s="165">
        <f t="shared" si="18"/>
        <v>1</v>
      </c>
      <c r="S32" s="165">
        <f t="shared" si="18"/>
        <v>1</v>
      </c>
      <c r="T32" s="165">
        <f t="shared" si="18"/>
        <v>0</v>
      </c>
      <c r="U32" s="165">
        <f t="shared" si="18"/>
        <v>1</v>
      </c>
      <c r="V32" s="165">
        <f t="shared" si="18"/>
        <v>1</v>
      </c>
      <c r="W32" s="165">
        <f t="shared" si="18"/>
        <v>1</v>
      </c>
      <c r="X32" s="165">
        <f t="shared" si="18"/>
        <v>1</v>
      </c>
      <c r="Y32" s="165">
        <f t="shared" si="18"/>
        <v>1</v>
      </c>
      <c r="Z32" s="165">
        <f t="shared" si="18"/>
        <v>1</v>
      </c>
      <c r="AA32" s="165">
        <f t="shared" si="18"/>
        <v>1</v>
      </c>
      <c r="AB32" s="165">
        <f t="shared" si="18"/>
        <v>1</v>
      </c>
    </row>
    <row r="33" spans="1:2" x14ac:dyDescent="0.25">
      <c r="A33" s="6">
        <f>COUNT(C2:C7)</f>
        <v>5</v>
      </c>
    </row>
    <row r="35" spans="1:2" x14ac:dyDescent="0.25">
      <c r="A35" s="55" t="s">
        <v>30</v>
      </c>
      <c r="B35" s="55">
        <f>COUNTIF(B$2:B$7,"DISCENTE")</f>
        <v>4</v>
      </c>
    </row>
    <row r="36" spans="1:2" x14ac:dyDescent="0.25">
      <c r="A36" s="55" t="s">
        <v>29</v>
      </c>
      <c r="B36" s="55">
        <f>COUNTIF(B$2:B$7,"DOCENTE")</f>
        <v>1</v>
      </c>
    </row>
    <row r="37" spans="1:2" ht="13.8" x14ac:dyDescent="0.25">
      <c r="B37" s="56" t="str">
        <f>IF(B35+B36=A33,"Verificado","Erro")</f>
        <v>Verificado</v>
      </c>
    </row>
  </sheetData>
  <sheetProtection algorithmName="SHA-512" hashValue="AC6WWl4HySoa/qbochPqw9NcyCxFMBly3MQAjk4Tl+XeRSdwMBKI6BNLYAV6PMMxqI0xCy8RocJK8J+WvagoEw==" saltValue="/ZLEX/CiORWZCPLVtTnV+Q==" spinCount="100000" sheet="1" formatColumns="0" formatRows="0"/>
  <conditionalFormatting sqref="C20:G25 I20:S25 U20:AB25">
    <cfRule type="colorScale" priority="5">
      <colorScale>
        <cfvo type="min"/>
        <cfvo type="max"/>
        <color rgb="FFFCFCFF"/>
        <color rgb="FF63BE7B"/>
      </colorScale>
    </cfRule>
  </conditionalFormatting>
  <conditionalFormatting sqref="C26:G26">
    <cfRule type="iconSet" priority="10">
      <iconSet iconSet="3Flags">
        <cfvo type="percent" val="0"/>
        <cfvo type="percent" val="33"/>
        <cfvo type="percent" val="67"/>
      </iconSet>
    </cfRule>
    <cfRule type="containsText" dxfId="23" priority="11" operator="containsText" text="Conferido!">
      <formula>NOT(ISERROR(SEARCH("Conferido!",C26)))</formula>
    </cfRule>
  </conditionalFormatting>
  <conditionalFormatting sqref="C20:AB25 H26:H27 T26:T27 T33">
    <cfRule type="colorScale" priority="4">
      <colorScale>
        <cfvo type="min"/>
        <cfvo type="percentile" val="50"/>
        <cfvo type="max"/>
        <color rgb="FF5A8AC6"/>
        <color rgb="FFFCFCFF"/>
        <color rgb="FFF8696B"/>
      </colorScale>
    </cfRule>
  </conditionalFormatting>
  <conditionalFormatting sqref="C28:AB30">
    <cfRule type="colorScale" priority="2">
      <colorScale>
        <cfvo type="min"/>
        <cfvo type="percentile" val="50"/>
        <cfvo type="max"/>
        <color rgb="FF63BE7B"/>
        <color rgb="FFFFEB84"/>
        <color rgb="FFF8696B"/>
      </colorScale>
    </cfRule>
  </conditionalFormatting>
  <conditionalFormatting sqref="C28:AB31">
    <cfRule type="colorScale" priority="1">
      <colorScale>
        <cfvo type="min"/>
        <cfvo type="percentile" val="50"/>
        <cfvo type="max"/>
        <color rgb="FF5A8AC6"/>
        <color rgb="FFFCFCFF"/>
        <color rgb="FFF8696B"/>
      </colorScale>
    </cfRule>
  </conditionalFormatting>
  <conditionalFormatting sqref="I26:S26">
    <cfRule type="iconSet" priority="8">
      <iconSet iconSet="3Flags">
        <cfvo type="percent" val="0"/>
        <cfvo type="percent" val="33"/>
        <cfvo type="percent" val="67"/>
      </iconSet>
    </cfRule>
    <cfRule type="containsText" dxfId="22" priority="9" operator="containsText" text="Conferido!">
      <formula>NOT(ISERROR(SEARCH("Conferido!",I26)))</formula>
    </cfRule>
  </conditionalFormatting>
  <conditionalFormatting sqref="U26:AB26">
    <cfRule type="iconSet" priority="6">
      <iconSet iconSet="3Flags">
        <cfvo type="percent" val="0"/>
        <cfvo type="percent" val="33"/>
        <cfvo type="percent" val="67"/>
      </iconSet>
    </cfRule>
    <cfRule type="containsText" dxfId="21" priority="7" operator="containsText" text="Conferido!">
      <formula>NOT(ISERROR(SEARCH("Conferido!",U26)))</formula>
    </cfRule>
  </conditionalFormatting>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Dashboard-1-AVALIAÇÃO INST.</vt:lpstr>
      <vt:lpstr>Dashboard-2-AVALIAÇÃO DIS-EGRES</vt:lpstr>
      <vt:lpstr>Dashboard-3-AVALIAÇÃO DISC.</vt:lpstr>
      <vt:lpstr>1-Autoavaliacao-Institucional</vt:lpstr>
      <vt:lpstr>2-Autoavaliacao-Discente-Egress</vt:lpstr>
      <vt:lpstr>D3</vt:lpstr>
      <vt:lpstr>D4</vt:lpstr>
      <vt:lpstr>D5</vt:lpstr>
      <vt:lpstr>D6</vt:lpstr>
      <vt:lpstr>D7</vt:lpstr>
      <vt:lpstr>D8</vt:lpstr>
      <vt:lpstr>D9</vt:lpstr>
      <vt:lpstr>D10</vt:lpstr>
      <vt:lpstr>D11</vt:lpstr>
      <vt:lpstr>D12</vt:lpstr>
      <vt:lpstr>D13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 L OLIVEIRA</dc:creator>
  <cp:lastModifiedBy>Rogério Campos</cp:lastModifiedBy>
  <dcterms:created xsi:type="dcterms:W3CDTF">2021-04-09T11:43:50Z</dcterms:created>
  <dcterms:modified xsi:type="dcterms:W3CDTF">2025-04-29T13:28:19Z</dcterms:modified>
</cp:coreProperties>
</file>